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drawings/drawing32.xml" ContentType="application/vnd.openxmlformats-officedocument.drawing+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mc:AlternateContent xmlns:mc="http://schemas.openxmlformats.org/markup-compatibility/2006">
    <mc:Choice Requires="x15">
      <x15ac:absPath xmlns:x15ac="http://schemas.microsoft.com/office/spreadsheetml/2010/11/ac" url="Z:\internal\RP&amp;A\Rate Changes &amp; Tariff Book Files\Rate Change\Rate Calc\2024\September\"/>
    </mc:Choice>
  </mc:AlternateContent>
  <xr:revisionPtr revIDLastSave="0" documentId="13_ncr:1_{848113DF-0985-493D-9164-A8E3FD598C4D}" xr6:coauthVersionLast="47" xr6:coauthVersionMax="47" xr10:uidLastSave="{00000000-0000-0000-0000-000000000000}"/>
  <bookViews>
    <workbookView xWindow="-24120" yWindow="-2970" windowWidth="24240" windowHeight="13020" tabRatio="965" xr2:uid="{00000000-000D-0000-FFFF-FFFF00000000}"/>
  </bookViews>
  <sheets>
    <sheet name="Customer Info" sheetId="1" r:id="rId1"/>
    <sheet name="Rider Def" sheetId="146" r:id="rId2"/>
    <sheet name="RR Bundled" sheetId="34" r:id="rId3"/>
    <sheet name="RLM Bundled" sheetId="143" r:id="rId4"/>
    <sheet name="RSDM Bundled" sheetId="100" r:id="rId5"/>
    <sheet name="RS TOU Bundled" sheetId="127" r:id="rId6"/>
    <sheet name="RS PEV " sheetId="149" r:id="rId7"/>
    <sheet name="RS TOD Bundled" sheetId="126" r:id="rId8"/>
    <sheet name="RR Pilot PEV" sheetId="140" r:id="rId9"/>
    <sheet name="GS-1 Bundled" sheetId="37" r:id="rId10"/>
    <sheet name="GS-TOU Bundled" sheetId="128" r:id="rId11"/>
    <sheet name="GS TOD Bundled" sheetId="119" r:id="rId12"/>
    <sheet name="GS-Pilot PEV" sheetId="147" r:id="rId13"/>
    <sheet name="GS FAIR - SEC" sheetId="138" r:id="rId14"/>
    <sheet name="GS FAIR - PRI" sheetId="139" r:id="rId15"/>
    <sheet name="Bus PEV - Sec" sheetId="150" r:id="rId16"/>
    <sheet name="Bus PEV - Primary" sheetId="151" r:id="rId17"/>
    <sheet name="Bus PEV - Trans" sheetId="152" r:id="rId18"/>
    <sheet name="GS SEC" sheetId="145" r:id="rId19"/>
    <sheet name="GS PRI" sheetId="129" r:id="rId20"/>
    <sheet name="GS TRANS" sheetId="130" r:id="rId21"/>
    <sheet name="RR Open Access" sheetId="131" r:id="rId22"/>
    <sheet name="RS PEV  OAD" sheetId="156" r:id="rId23"/>
    <sheet name="RSDM Open" sheetId="132" r:id="rId24"/>
    <sheet name="GS-1 Open" sheetId="133" r:id="rId25"/>
    <sheet name="GS-PEV Pilot OAD" sheetId="148" r:id="rId26"/>
    <sheet name="GS SEC OAD" sheetId="141" r:id="rId27"/>
    <sheet name="GS PRI OAD" sheetId="142" r:id="rId28"/>
    <sheet name="GS TRANS - OAD" sheetId="136" r:id="rId29"/>
    <sheet name="Bus PEV - Sec OAD" sheetId="153" r:id="rId30"/>
    <sheet name="Bus PEV - Primary OAD" sheetId="154" r:id="rId31"/>
    <sheet name="Bus PEV - Trans OAD" sheetId="155" r:id="rId32"/>
    <sheet name="Rider Rates" sheetId="120" r:id="rId33"/>
    <sheet name="Riders" sheetId="61" state="hidden" r:id="rId34"/>
  </sheets>
  <definedNames>
    <definedName name="_xlnm.Print_Area" localSheetId="0">'Customer Info'!$A$1:$F$38</definedName>
    <definedName name="_xlnm.Print_Area" localSheetId="14">'GS FAIR - PRI'!$A$1:$P$72</definedName>
    <definedName name="_xlnm.Print_Area" localSheetId="13">'GS FAIR - SEC'!$A$1:$P$72</definedName>
    <definedName name="_xlnm.Print_Area" localSheetId="19">'GS PRI'!$A$1:$P$79</definedName>
    <definedName name="_xlnm.Print_Area" localSheetId="27">'GS PRI OAD'!$A$1:$P$73</definedName>
    <definedName name="_xlnm.Print_Area" localSheetId="18">'GS SEC'!$A$1:$P$79</definedName>
    <definedName name="_xlnm.Print_Area" localSheetId="26">'GS SEC OAD'!$A$1:$P$73</definedName>
    <definedName name="_xlnm.Print_Area" localSheetId="11">'GS TOD Bundled'!$A$1:$P$64</definedName>
    <definedName name="_xlnm.Print_Area" localSheetId="20">'GS TRANS'!$A$1:$P$78</definedName>
    <definedName name="_xlnm.Print_Area" localSheetId="28">'GS TRANS - OAD'!$A$1:$P$72</definedName>
    <definedName name="_xlnm.Print_Area" localSheetId="9">'GS-1 Bundled'!$A$1:$P$65</definedName>
    <definedName name="_xlnm.Print_Area" localSheetId="24">'GS-1 Open'!$A$1:$P$61</definedName>
    <definedName name="_xlnm.Print_Area" localSheetId="25">'GS-PEV Pilot OAD'!$A$1:$P$66</definedName>
    <definedName name="_xlnm.Print_Area" localSheetId="12">'GS-Pilot PEV'!$A$1:$P$66</definedName>
    <definedName name="_xlnm.Print_Area" localSheetId="10">'GS-TOU Bundled'!$A$1:$P$66</definedName>
    <definedName name="_xlnm.Print_Area" localSheetId="1">'Rider Def'!$A$1:$A$36</definedName>
    <definedName name="_xlnm.Print_Area" localSheetId="32">'Rider Rates'!$A$1:$G$144</definedName>
    <definedName name="_xlnm.Print_Area" localSheetId="3">'RLM Bundled'!$A$1:$P$62</definedName>
    <definedName name="_xlnm.Print_Area" localSheetId="2">'RR Bundled'!$A$1:$P$68</definedName>
    <definedName name="_xlnm.Print_Area" localSheetId="21">'RR Open Access'!$A$1:$P$64</definedName>
    <definedName name="_xlnm.Print_Area" localSheetId="8">'RR Pilot PEV'!$A$1:$P$69</definedName>
    <definedName name="_xlnm.Print_Area" localSheetId="6">'RS PEV '!$A$1:$P$68</definedName>
    <definedName name="_xlnm.Print_Area" localSheetId="22">'RS PEV  OAD'!$A$1:$P$68</definedName>
    <definedName name="_xlnm.Print_Area" localSheetId="7">'RS TOD Bundled'!$A$1:$P$63</definedName>
    <definedName name="_xlnm.Print_Area" localSheetId="5">'RS TOU Bundled'!$A$1:$P$69</definedName>
    <definedName name="_xlnm.Print_Area" localSheetId="4">'RSDM Bundled'!$A$1:$P$61</definedName>
    <definedName name="_xlnm.Print_Area" localSheetId="23">'RSDM Open'!$A$1:$P$57</definedName>
    <definedName name="_xlnm.Print_Titles" localSheetId="32">'Rider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5" i="132" l="1"/>
  <c r="I35" i="132"/>
  <c r="J35" i="132"/>
  <c r="P44" i="156"/>
  <c r="I44" i="156"/>
  <c r="J44" i="156" s="1"/>
  <c r="P41" i="131"/>
  <c r="I44" i="140"/>
  <c r="I37" i="100"/>
  <c r="I38" i="143"/>
  <c r="I41" i="131"/>
  <c r="J41" i="131" s="1"/>
  <c r="P38" i="126" l="1"/>
  <c r="P44" i="149"/>
  <c r="P44" i="127"/>
  <c r="P37" i="100"/>
  <c r="P44" i="140"/>
  <c r="J44" i="140"/>
  <c r="P52" i="149"/>
  <c r="I52" i="149"/>
  <c r="I38" i="126"/>
  <c r="J38" i="126"/>
  <c r="I44" i="149"/>
  <c r="J44" i="149" s="1"/>
  <c r="I44" i="127"/>
  <c r="J44" i="127" s="1"/>
  <c r="J37" i="100"/>
  <c r="C14" i="143"/>
  <c r="P38" i="143"/>
  <c r="J38" i="143"/>
  <c r="I43" i="34"/>
  <c r="P43" i="34"/>
  <c r="J43" i="34"/>
  <c r="D38" i="143" l="1"/>
  <c r="N38" i="143" s="1"/>
  <c r="O38" i="143" s="1"/>
  <c r="P57" i="156"/>
  <c r="I57" i="156"/>
  <c r="J57" i="156" s="1"/>
  <c r="N57" i="156" s="1"/>
  <c r="O57" i="156" s="1"/>
  <c r="P56" i="156"/>
  <c r="I56" i="156"/>
  <c r="J56" i="156" s="1"/>
  <c r="D56" i="156"/>
  <c r="P55" i="156"/>
  <c r="I55" i="156"/>
  <c r="J55" i="156" s="1"/>
  <c r="N55" i="156" s="1"/>
  <c r="O55" i="156" s="1"/>
  <c r="P54" i="156"/>
  <c r="I54" i="156"/>
  <c r="J54" i="156" s="1"/>
  <c r="P53" i="156"/>
  <c r="J53" i="156"/>
  <c r="D53" i="156"/>
  <c r="L53" i="156" s="1"/>
  <c r="O53" i="156" s="1"/>
  <c r="P52" i="156"/>
  <c r="I52" i="156"/>
  <c r="N52" i="156" s="1"/>
  <c r="O52" i="156" s="1"/>
  <c r="P51" i="156"/>
  <c r="I51" i="156"/>
  <c r="J51" i="156" s="1"/>
  <c r="P50" i="156"/>
  <c r="I50" i="156"/>
  <c r="J50" i="156" s="1"/>
  <c r="P49" i="156"/>
  <c r="J49" i="156"/>
  <c r="P48" i="156"/>
  <c r="I48" i="156"/>
  <c r="J48" i="156" s="1"/>
  <c r="P47" i="156"/>
  <c r="I47" i="156"/>
  <c r="J47" i="156" s="1"/>
  <c r="P46" i="156"/>
  <c r="I46" i="156"/>
  <c r="J46" i="156" s="1"/>
  <c r="P45" i="156"/>
  <c r="I45" i="156"/>
  <c r="J45" i="156" s="1"/>
  <c r="P43" i="156"/>
  <c r="H43" i="156"/>
  <c r="J43" i="156" s="1"/>
  <c r="P42" i="156"/>
  <c r="P41" i="156"/>
  <c r="J41" i="156"/>
  <c r="D41" i="156"/>
  <c r="L41" i="156" s="1"/>
  <c r="O41" i="156" s="1"/>
  <c r="P40" i="156"/>
  <c r="J40" i="156"/>
  <c r="D40" i="156"/>
  <c r="L40" i="156" s="1"/>
  <c r="O40" i="156" s="1"/>
  <c r="P39" i="156"/>
  <c r="J39" i="156"/>
  <c r="D39" i="156"/>
  <c r="L39" i="156" s="1"/>
  <c r="P38" i="156"/>
  <c r="I38" i="156"/>
  <c r="J38" i="156" s="1"/>
  <c r="P37" i="156"/>
  <c r="I37" i="156"/>
  <c r="J37" i="156" s="1"/>
  <c r="P36" i="156"/>
  <c r="I36" i="156"/>
  <c r="J36" i="156" s="1"/>
  <c r="P35" i="156"/>
  <c r="I35" i="156"/>
  <c r="J35" i="156" s="1"/>
  <c r="P34" i="156"/>
  <c r="I34" i="156"/>
  <c r="J34" i="156" s="1"/>
  <c r="P33" i="156"/>
  <c r="I33" i="156"/>
  <c r="J33" i="156" s="1"/>
  <c r="P32" i="156"/>
  <c r="I32" i="156"/>
  <c r="J32" i="156" s="1"/>
  <c r="P27" i="156"/>
  <c r="I27" i="156"/>
  <c r="P26" i="156"/>
  <c r="I26" i="156"/>
  <c r="I25" i="156"/>
  <c r="N25" i="156" s="1"/>
  <c r="O25" i="156" s="1"/>
  <c r="D18" i="156"/>
  <c r="D27" i="156" s="1"/>
  <c r="D17" i="156"/>
  <c r="D26" i="156" s="1"/>
  <c r="AD15" i="156"/>
  <c r="AC15" i="156"/>
  <c r="AB15" i="156"/>
  <c r="AA15" i="156"/>
  <c r="Z15" i="156"/>
  <c r="Y15" i="156"/>
  <c r="X15" i="156"/>
  <c r="W15" i="156"/>
  <c r="V15" i="156"/>
  <c r="U15" i="156"/>
  <c r="T15" i="156"/>
  <c r="S15" i="156"/>
  <c r="AD14" i="156"/>
  <c r="AC14" i="156"/>
  <c r="AB14" i="156"/>
  <c r="AA14" i="156"/>
  <c r="Z14" i="156"/>
  <c r="Y14" i="156"/>
  <c r="X14" i="156"/>
  <c r="W14" i="156"/>
  <c r="V14" i="156"/>
  <c r="U14" i="156"/>
  <c r="T14" i="156"/>
  <c r="S14" i="156"/>
  <c r="AD13" i="156"/>
  <c r="AC13" i="156"/>
  <c r="AB13" i="156"/>
  <c r="AA13" i="156"/>
  <c r="Z13" i="156"/>
  <c r="Y13" i="156"/>
  <c r="X13" i="156"/>
  <c r="W13" i="156"/>
  <c r="V13" i="156"/>
  <c r="U13" i="156"/>
  <c r="T13" i="156"/>
  <c r="S13" i="156"/>
  <c r="D11" i="156"/>
  <c r="B11" i="156"/>
  <c r="C11" i="156" s="1"/>
  <c r="C10" i="156"/>
  <c r="C9" i="156"/>
  <c r="A6" i="156"/>
  <c r="A4" i="156"/>
  <c r="P54" i="155"/>
  <c r="I54" i="155"/>
  <c r="J54" i="155" s="1"/>
  <c r="N54" i="155" s="1"/>
  <c r="O54" i="155" s="1"/>
  <c r="P53" i="155"/>
  <c r="I53" i="155"/>
  <c r="J53" i="155" s="1"/>
  <c r="P52" i="155"/>
  <c r="I52" i="155"/>
  <c r="J52" i="155" s="1"/>
  <c r="P51" i="155"/>
  <c r="I51" i="155"/>
  <c r="J51" i="155" s="1"/>
  <c r="P50" i="155"/>
  <c r="I50" i="155"/>
  <c r="J50" i="155" s="1"/>
  <c r="P49" i="155"/>
  <c r="J49" i="155"/>
  <c r="P48" i="155"/>
  <c r="I48" i="155"/>
  <c r="N48" i="155" s="1"/>
  <c r="O48" i="155" s="1"/>
  <c r="P47" i="155"/>
  <c r="I47" i="155"/>
  <c r="N47" i="155" s="1"/>
  <c r="O47" i="155" s="1"/>
  <c r="P46" i="155"/>
  <c r="I46" i="155"/>
  <c r="J46" i="155" s="1"/>
  <c r="P45" i="155"/>
  <c r="J45" i="155"/>
  <c r="P44" i="155"/>
  <c r="I44" i="155"/>
  <c r="N44" i="155" s="1"/>
  <c r="O44" i="155" s="1"/>
  <c r="P43" i="155"/>
  <c r="I43" i="155"/>
  <c r="J43" i="155" s="1"/>
  <c r="P42" i="155"/>
  <c r="I42" i="155"/>
  <c r="J42" i="155" s="1"/>
  <c r="I41" i="155"/>
  <c r="J41" i="155" s="1"/>
  <c r="N41" i="155" s="1"/>
  <c r="O41" i="155" s="1"/>
  <c r="P40" i="155"/>
  <c r="I40" i="155"/>
  <c r="J40" i="155" s="1"/>
  <c r="P39" i="155"/>
  <c r="H39" i="155"/>
  <c r="J39" i="155" s="1"/>
  <c r="P38" i="155"/>
  <c r="P37" i="155"/>
  <c r="J37" i="155"/>
  <c r="P36" i="155"/>
  <c r="J36" i="155"/>
  <c r="P35" i="155"/>
  <c r="J35" i="155"/>
  <c r="P34" i="155"/>
  <c r="J34" i="155"/>
  <c r="P33" i="155"/>
  <c r="I33" i="155"/>
  <c r="J33" i="155" s="1"/>
  <c r="P32" i="155"/>
  <c r="I32" i="155"/>
  <c r="J32" i="155" s="1"/>
  <c r="P31" i="155"/>
  <c r="I31" i="155"/>
  <c r="J31" i="155" s="1"/>
  <c r="P30" i="155"/>
  <c r="I30" i="155"/>
  <c r="J30" i="155" s="1"/>
  <c r="P29" i="155"/>
  <c r="I29" i="155"/>
  <c r="J29" i="155" s="1"/>
  <c r="P28" i="155"/>
  <c r="I28" i="155"/>
  <c r="J28" i="155" s="1"/>
  <c r="P27" i="155"/>
  <c r="I27" i="155"/>
  <c r="J27" i="155" s="1"/>
  <c r="P22" i="155"/>
  <c r="I22" i="155"/>
  <c r="J22" i="155" s="1"/>
  <c r="I21" i="155"/>
  <c r="N21" i="155" s="1"/>
  <c r="C17" i="155"/>
  <c r="D36" i="155" s="1"/>
  <c r="L36" i="155" s="1"/>
  <c r="O36" i="155" s="1"/>
  <c r="C16" i="155"/>
  <c r="D35" i="155" s="1"/>
  <c r="L35" i="155" s="1"/>
  <c r="O35" i="155" s="1"/>
  <c r="C15" i="155"/>
  <c r="D28" i="155" s="1"/>
  <c r="AD13" i="155"/>
  <c r="AC13" i="155"/>
  <c r="AB13" i="155"/>
  <c r="AA13" i="155"/>
  <c r="Z13" i="155"/>
  <c r="Y13" i="155"/>
  <c r="X13" i="155"/>
  <c r="W13" i="155"/>
  <c r="V13" i="155"/>
  <c r="U13" i="155"/>
  <c r="T13" i="155"/>
  <c r="S13" i="155"/>
  <c r="D11" i="155"/>
  <c r="B11" i="155"/>
  <c r="C11" i="155" s="1"/>
  <c r="C10" i="155"/>
  <c r="C9" i="155"/>
  <c r="A6" i="155"/>
  <c r="A4" i="155"/>
  <c r="G49" i="152"/>
  <c r="G36" i="152"/>
  <c r="G35" i="152"/>
  <c r="G34" i="152"/>
  <c r="P54" i="154"/>
  <c r="I54" i="154"/>
  <c r="J54" i="154" s="1"/>
  <c r="N54" i="154" s="1"/>
  <c r="O54" i="154" s="1"/>
  <c r="P53" i="154"/>
  <c r="I53" i="154"/>
  <c r="J53" i="154" s="1"/>
  <c r="P52" i="154"/>
  <c r="I52" i="154"/>
  <c r="J52" i="154" s="1"/>
  <c r="P51" i="154"/>
  <c r="I51" i="154"/>
  <c r="J51" i="154" s="1"/>
  <c r="P50" i="154"/>
  <c r="I50" i="154"/>
  <c r="J50" i="154" s="1"/>
  <c r="P49" i="154"/>
  <c r="J49" i="154"/>
  <c r="P48" i="154"/>
  <c r="I48" i="154"/>
  <c r="N48" i="154" s="1"/>
  <c r="O48" i="154" s="1"/>
  <c r="P47" i="154"/>
  <c r="I47" i="154"/>
  <c r="N47" i="154" s="1"/>
  <c r="O47" i="154" s="1"/>
  <c r="P46" i="154"/>
  <c r="I46" i="154"/>
  <c r="J46" i="154" s="1"/>
  <c r="P45" i="154"/>
  <c r="J45" i="154"/>
  <c r="P44" i="154"/>
  <c r="I44" i="154"/>
  <c r="N44" i="154" s="1"/>
  <c r="O44" i="154" s="1"/>
  <c r="P43" i="154"/>
  <c r="I43" i="154"/>
  <c r="J43" i="154" s="1"/>
  <c r="P42" i="154"/>
  <c r="I42" i="154"/>
  <c r="J42" i="154" s="1"/>
  <c r="I41" i="154"/>
  <c r="J41" i="154" s="1"/>
  <c r="N41" i="154" s="1"/>
  <c r="O41" i="154" s="1"/>
  <c r="P40" i="154"/>
  <c r="I40" i="154"/>
  <c r="J40" i="154" s="1"/>
  <c r="P39" i="154"/>
  <c r="H39" i="154"/>
  <c r="J39" i="154" s="1"/>
  <c r="P38" i="154"/>
  <c r="P37" i="154"/>
  <c r="J37" i="154"/>
  <c r="P36" i="154"/>
  <c r="J36" i="154"/>
  <c r="P35" i="154"/>
  <c r="J35" i="154"/>
  <c r="P34" i="154"/>
  <c r="J34" i="154"/>
  <c r="P33" i="154"/>
  <c r="I33" i="154"/>
  <c r="J33" i="154" s="1"/>
  <c r="P32" i="154"/>
  <c r="I32" i="154"/>
  <c r="J32" i="154" s="1"/>
  <c r="P31" i="154"/>
  <c r="I31" i="154"/>
  <c r="J31" i="154" s="1"/>
  <c r="P30" i="154"/>
  <c r="I30" i="154"/>
  <c r="J30" i="154" s="1"/>
  <c r="P29" i="154"/>
  <c r="I29" i="154"/>
  <c r="J29" i="154" s="1"/>
  <c r="P28" i="154"/>
  <c r="I28" i="154"/>
  <c r="J28" i="154" s="1"/>
  <c r="P27" i="154"/>
  <c r="I27" i="154"/>
  <c r="J27" i="154" s="1"/>
  <c r="P22" i="154"/>
  <c r="I22" i="154"/>
  <c r="J22" i="154" s="1"/>
  <c r="I21" i="154"/>
  <c r="N21" i="154" s="1"/>
  <c r="C17" i="154"/>
  <c r="D36" i="154" s="1"/>
  <c r="L36" i="154" s="1"/>
  <c r="O36" i="154" s="1"/>
  <c r="C16" i="154"/>
  <c r="D35" i="154" s="1"/>
  <c r="L35" i="154" s="1"/>
  <c r="O35" i="154" s="1"/>
  <c r="C15" i="154"/>
  <c r="D39" i="154" s="1"/>
  <c r="AD13" i="154"/>
  <c r="AC13" i="154"/>
  <c r="AB13" i="154"/>
  <c r="AA13" i="154"/>
  <c r="Z13" i="154"/>
  <c r="Y13" i="154"/>
  <c r="X13" i="154"/>
  <c r="W13" i="154"/>
  <c r="V13" i="154"/>
  <c r="U13" i="154"/>
  <c r="T13" i="154"/>
  <c r="S13" i="154"/>
  <c r="D11" i="154"/>
  <c r="B11" i="154"/>
  <c r="C11" i="154" s="1"/>
  <c r="C10" i="154"/>
  <c r="C9" i="154"/>
  <c r="A6" i="154"/>
  <c r="A4" i="154"/>
  <c r="G49" i="151"/>
  <c r="G34" i="151"/>
  <c r="P54" i="153"/>
  <c r="I54" i="153"/>
  <c r="J54" i="153" s="1"/>
  <c r="N54" i="153" s="1"/>
  <c r="O54" i="153" s="1"/>
  <c r="P53" i="153"/>
  <c r="I53" i="153"/>
  <c r="J53" i="153" s="1"/>
  <c r="P52" i="153"/>
  <c r="I52" i="153"/>
  <c r="J52" i="153" s="1"/>
  <c r="P51" i="153"/>
  <c r="I51" i="153"/>
  <c r="J51" i="153" s="1"/>
  <c r="P50" i="153"/>
  <c r="I50" i="153"/>
  <c r="J50" i="153" s="1"/>
  <c r="P49" i="153"/>
  <c r="J49" i="153"/>
  <c r="P48" i="153"/>
  <c r="I48" i="153"/>
  <c r="J48" i="153" s="1"/>
  <c r="P47" i="153"/>
  <c r="I47" i="153"/>
  <c r="N47" i="153" s="1"/>
  <c r="O47" i="153" s="1"/>
  <c r="P46" i="153"/>
  <c r="I46" i="153"/>
  <c r="J46" i="153" s="1"/>
  <c r="P45" i="153"/>
  <c r="J45" i="153"/>
  <c r="P44" i="153"/>
  <c r="I44" i="153"/>
  <c r="N44" i="153" s="1"/>
  <c r="O44" i="153" s="1"/>
  <c r="P43" i="153"/>
  <c r="I43" i="153"/>
  <c r="J43" i="153" s="1"/>
  <c r="P42" i="153"/>
  <c r="I42" i="153"/>
  <c r="J42" i="153" s="1"/>
  <c r="I41" i="153"/>
  <c r="J41" i="153" s="1"/>
  <c r="N41" i="153" s="1"/>
  <c r="O41" i="153" s="1"/>
  <c r="P40" i="153"/>
  <c r="I40" i="153"/>
  <c r="J40" i="153" s="1"/>
  <c r="P39" i="153"/>
  <c r="H39" i="153"/>
  <c r="J39" i="153" s="1"/>
  <c r="P38" i="153"/>
  <c r="P37" i="153"/>
  <c r="J37" i="153"/>
  <c r="P36" i="153"/>
  <c r="J36" i="153"/>
  <c r="P35" i="153"/>
  <c r="J35" i="153"/>
  <c r="P34" i="153"/>
  <c r="J34" i="153"/>
  <c r="D34" i="153"/>
  <c r="L34" i="153" s="1"/>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L36" i="153" s="1"/>
  <c r="O36" i="153" s="1"/>
  <c r="C16" i="153"/>
  <c r="D35" i="153" s="1"/>
  <c r="L35" i="153" s="1"/>
  <c r="O35" i="153" s="1"/>
  <c r="C15" i="153"/>
  <c r="AD13" i="153"/>
  <c r="AC13" i="153"/>
  <c r="AB13" i="153"/>
  <c r="AA13" i="153"/>
  <c r="Z13" i="153"/>
  <c r="Y13" i="153"/>
  <c r="X13" i="153"/>
  <c r="W13" i="153"/>
  <c r="V13" i="153"/>
  <c r="U13" i="153"/>
  <c r="T13" i="153"/>
  <c r="S13" i="153"/>
  <c r="D11" i="153"/>
  <c r="B11" i="153"/>
  <c r="C11" i="153" s="1"/>
  <c r="C10" i="153"/>
  <c r="C9" i="153"/>
  <c r="A6" i="153"/>
  <c r="A4" i="153"/>
  <c r="G36" i="151"/>
  <c r="G35" i="151"/>
  <c r="G36" i="150"/>
  <c r="G35" i="150"/>
  <c r="D34" i="150"/>
  <c r="D40" i="149"/>
  <c r="G40" i="149"/>
  <c r="N56" i="156" l="1"/>
  <c r="O56" i="156" s="1"/>
  <c r="J21" i="155"/>
  <c r="N48" i="156"/>
  <c r="O48" i="156" s="1"/>
  <c r="N28" i="155"/>
  <c r="O28" i="155" s="1"/>
  <c r="N26" i="156"/>
  <c r="O26" i="156" s="1"/>
  <c r="D49" i="155"/>
  <c r="L49" i="155" s="1"/>
  <c r="O49" i="155" s="1"/>
  <c r="N51" i="156"/>
  <c r="O51" i="156" s="1"/>
  <c r="N48" i="153"/>
  <c r="O48" i="153" s="1"/>
  <c r="J48" i="155"/>
  <c r="J25" i="156"/>
  <c r="M39" i="154"/>
  <c r="O39" i="154" s="1"/>
  <c r="D32" i="154"/>
  <c r="N32" i="154" s="1"/>
  <c r="O32" i="154" s="1"/>
  <c r="J47" i="153"/>
  <c r="J44" i="155"/>
  <c r="J47" i="155"/>
  <c r="D28" i="154"/>
  <c r="N28" i="154" s="1"/>
  <c r="O28" i="154" s="1"/>
  <c r="J47" i="154"/>
  <c r="D31" i="154"/>
  <c r="N31" i="154" s="1"/>
  <c r="O31" i="154" s="1"/>
  <c r="D22" i="154"/>
  <c r="N22" i="154" s="1"/>
  <c r="O22" i="154" s="1"/>
  <c r="D50" i="154"/>
  <c r="N50" i="154" s="1"/>
  <c r="O50" i="154" s="1"/>
  <c r="D32" i="155"/>
  <c r="N32" i="155" s="1"/>
  <c r="O32" i="155" s="1"/>
  <c r="D53" i="155"/>
  <c r="N53" i="155" s="1"/>
  <c r="O53" i="155" s="1"/>
  <c r="D29" i="154"/>
  <c r="N29" i="154" s="1"/>
  <c r="O29" i="154" s="1"/>
  <c r="D40" i="154"/>
  <c r="N40" i="154" s="1"/>
  <c r="O40" i="154" s="1"/>
  <c r="D27" i="154"/>
  <c r="N27" i="154" s="1"/>
  <c r="O27" i="154" s="1"/>
  <c r="D49" i="154"/>
  <c r="L49" i="154" s="1"/>
  <c r="O49" i="154" s="1"/>
  <c r="D40" i="155"/>
  <c r="N40" i="155" s="1"/>
  <c r="O40" i="155" s="1"/>
  <c r="N27" i="156"/>
  <c r="O27" i="156" s="1"/>
  <c r="L59" i="156"/>
  <c r="L61" i="156" s="1"/>
  <c r="O39" i="156"/>
  <c r="J52" i="156"/>
  <c r="O64" i="156"/>
  <c r="D19" i="156"/>
  <c r="D44" i="156" s="1"/>
  <c r="D29" i="155"/>
  <c r="N29" i="155" s="1"/>
  <c r="O29" i="155" s="1"/>
  <c r="D37" i="155"/>
  <c r="L37" i="155" s="1"/>
  <c r="O37" i="155" s="1"/>
  <c r="O21" i="155"/>
  <c r="D52" i="155"/>
  <c r="N52" i="155" s="1"/>
  <c r="O52" i="155" s="1"/>
  <c r="D22" i="155"/>
  <c r="N22" i="155" s="1"/>
  <c r="D27" i="155"/>
  <c r="N27" i="155" s="1"/>
  <c r="D31" i="155"/>
  <c r="N31" i="155" s="1"/>
  <c r="O31" i="155" s="1"/>
  <c r="D39" i="155"/>
  <c r="M39" i="155" s="1"/>
  <c r="D45" i="155"/>
  <c r="O45" i="155" s="1"/>
  <c r="D51" i="155"/>
  <c r="N51" i="155" s="1"/>
  <c r="O51" i="155" s="1"/>
  <c r="D30" i="155"/>
  <c r="N30" i="155" s="1"/>
  <c r="O30" i="155" s="1"/>
  <c r="D34" i="155"/>
  <c r="L34" i="155" s="1"/>
  <c r="D38" i="155"/>
  <c r="D50" i="155"/>
  <c r="N50" i="155" s="1"/>
  <c r="O50" i="155" s="1"/>
  <c r="O21" i="154"/>
  <c r="D37" i="154"/>
  <c r="L37" i="154" s="1"/>
  <c r="O37" i="154" s="1"/>
  <c r="J21" i="154"/>
  <c r="J44" i="154"/>
  <c r="D53" i="154"/>
  <c r="N53" i="154" s="1"/>
  <c r="O53" i="154" s="1"/>
  <c r="D52" i="154"/>
  <c r="N52" i="154" s="1"/>
  <c r="O52" i="154" s="1"/>
  <c r="D45" i="154"/>
  <c r="O45" i="154" s="1"/>
  <c r="J48" i="154"/>
  <c r="D51" i="154"/>
  <c r="N51" i="154" s="1"/>
  <c r="O51" i="154" s="1"/>
  <c r="D30" i="154"/>
  <c r="N30" i="154" s="1"/>
  <c r="O30" i="154" s="1"/>
  <c r="D34" i="154"/>
  <c r="L34" i="154" s="1"/>
  <c r="D38" i="154"/>
  <c r="O21" i="153"/>
  <c r="O34" i="153"/>
  <c r="D37" i="153"/>
  <c r="L37" i="153" s="1"/>
  <c r="O37" i="153" s="1"/>
  <c r="J21" i="153"/>
  <c r="J44" i="153"/>
  <c r="D49" i="153"/>
  <c r="L49" i="153" s="1"/>
  <c r="O49" i="153" s="1"/>
  <c r="D53" i="153"/>
  <c r="N53" i="153" s="1"/>
  <c r="O53" i="153" s="1"/>
  <c r="D45" i="153"/>
  <c r="O45" i="153" s="1"/>
  <c r="D29" i="153"/>
  <c r="N29" i="153" s="1"/>
  <c r="O29" i="153" s="1"/>
  <c r="D28" i="153"/>
  <c r="N28" i="153" s="1"/>
  <c r="O28" i="153" s="1"/>
  <c r="D32" i="153"/>
  <c r="N32" i="153" s="1"/>
  <c r="O32" i="153" s="1"/>
  <c r="D40" i="153"/>
  <c r="N40" i="153" s="1"/>
  <c r="O40" i="153" s="1"/>
  <c r="D30" i="153"/>
  <c r="N30" i="153" s="1"/>
  <c r="O30" i="153" s="1"/>
  <c r="D52" i="153"/>
  <c r="N52" i="153" s="1"/>
  <c r="O52" i="153" s="1"/>
  <c r="D22" i="153"/>
  <c r="N22" i="153" s="1"/>
  <c r="O22" i="153" s="1"/>
  <c r="D27" i="153"/>
  <c r="N27" i="153" s="1"/>
  <c r="D31" i="153"/>
  <c r="N31" i="153" s="1"/>
  <c r="O31" i="153" s="1"/>
  <c r="D39" i="153"/>
  <c r="M39" i="153" s="1"/>
  <c r="D51" i="153"/>
  <c r="N51" i="153" s="1"/>
  <c r="O51" i="153" s="1"/>
  <c r="D38" i="153"/>
  <c r="D50" i="153"/>
  <c r="N50" i="153" s="1"/>
  <c r="O50" i="153" s="1"/>
  <c r="N44" i="156" l="1"/>
  <c r="O44" i="156" s="1"/>
  <c r="M56" i="154"/>
  <c r="M58" i="154" s="1"/>
  <c r="O28" i="156"/>
  <c r="N23" i="154"/>
  <c r="D33" i="154" s="1"/>
  <c r="N33" i="154" s="1"/>
  <c r="O33" i="154" s="1"/>
  <c r="N28" i="156"/>
  <c r="D46" i="156" s="1"/>
  <c r="N46" i="156" s="1"/>
  <c r="O46" i="156" s="1"/>
  <c r="O69" i="156"/>
  <c r="D43" i="156"/>
  <c r="M43" i="156" s="1"/>
  <c r="D54" i="156"/>
  <c r="N54" i="156" s="1"/>
  <c r="O54" i="156" s="1"/>
  <c r="D36" i="156"/>
  <c r="N36" i="156" s="1"/>
  <c r="O36" i="156" s="1"/>
  <c r="D32" i="156"/>
  <c r="N32" i="156" s="1"/>
  <c r="D34" i="156"/>
  <c r="N34" i="156" s="1"/>
  <c r="O34" i="156" s="1"/>
  <c r="D45" i="156"/>
  <c r="N45" i="156" s="1"/>
  <c r="O45" i="156" s="1"/>
  <c r="D49" i="156"/>
  <c r="O49" i="156" s="1"/>
  <c r="D37" i="156"/>
  <c r="N37" i="156" s="1"/>
  <c r="O37" i="156" s="1"/>
  <c r="D33" i="156"/>
  <c r="N33" i="156" s="1"/>
  <c r="O33" i="156" s="1"/>
  <c r="D35" i="156"/>
  <c r="N35" i="156" s="1"/>
  <c r="O35" i="156" s="1"/>
  <c r="O22" i="155"/>
  <c r="O23" i="155" s="1"/>
  <c r="N23" i="155"/>
  <c r="O27" i="155"/>
  <c r="L56" i="155"/>
  <c r="L58" i="155" s="1"/>
  <c r="O66" i="155" s="1"/>
  <c r="O34" i="155"/>
  <c r="M56" i="155"/>
  <c r="M58" i="155" s="1"/>
  <c r="O39" i="155"/>
  <c r="L56" i="154"/>
  <c r="L58" i="154" s="1"/>
  <c r="O66" i="154" s="1"/>
  <c r="O34" i="154"/>
  <c r="O23" i="154"/>
  <c r="O23" i="153"/>
  <c r="L56" i="153"/>
  <c r="L58" i="153" s="1"/>
  <c r="O66" i="153" s="1"/>
  <c r="M56" i="153"/>
  <c r="M58" i="153" s="1"/>
  <c r="O39" i="153"/>
  <c r="O27" i="153"/>
  <c r="N23" i="153"/>
  <c r="D46" i="154" l="1"/>
  <c r="N46" i="154" s="1"/>
  <c r="O46" i="154" s="1"/>
  <c r="D43" i="154"/>
  <c r="N43" i="154" s="1"/>
  <c r="O43" i="154" s="1"/>
  <c r="D42" i="154"/>
  <c r="N42" i="154" s="1"/>
  <c r="O42" i="154" s="1"/>
  <c r="D38" i="156"/>
  <c r="N38" i="156" s="1"/>
  <c r="O38" i="156" s="1"/>
  <c r="D50" i="156"/>
  <c r="N50" i="156" s="1"/>
  <c r="O50" i="156" s="1"/>
  <c r="D47" i="156"/>
  <c r="N47" i="156" s="1"/>
  <c r="O47" i="156" s="1"/>
  <c r="M59" i="156"/>
  <c r="M61" i="156" s="1"/>
  <c r="O43" i="156"/>
  <c r="O32" i="156"/>
  <c r="D43" i="155"/>
  <c r="N43" i="155" s="1"/>
  <c r="O43" i="155" s="1"/>
  <c r="D42" i="155"/>
  <c r="N42" i="155" s="1"/>
  <c r="O42" i="155" s="1"/>
  <c r="D46" i="155"/>
  <c r="N46" i="155" s="1"/>
  <c r="O46" i="155" s="1"/>
  <c r="D33" i="155"/>
  <c r="N33" i="155" s="1"/>
  <c r="D42" i="153"/>
  <c r="N42" i="153" s="1"/>
  <c r="O42" i="153" s="1"/>
  <c r="D33" i="153"/>
  <c r="N33" i="153" s="1"/>
  <c r="D43" i="153"/>
  <c r="N43" i="153" s="1"/>
  <c r="O43" i="153" s="1"/>
  <c r="D46" i="153"/>
  <c r="N46" i="153" s="1"/>
  <c r="O46" i="153" s="1"/>
  <c r="O33" i="155" l="1"/>
  <c r="O33" i="153"/>
  <c r="P22" i="152" l="1"/>
  <c r="P22" i="151"/>
  <c r="P22" i="150"/>
  <c r="I27" i="149"/>
  <c r="P26" i="149"/>
  <c r="C15" i="152"/>
  <c r="D34" i="152" s="1"/>
  <c r="I22" i="152"/>
  <c r="I21" i="152"/>
  <c r="N21" i="152" s="1"/>
  <c r="O21" i="152" s="1"/>
  <c r="P54" i="152"/>
  <c r="I54" i="152"/>
  <c r="J54" i="152" s="1"/>
  <c r="N54" i="152" s="1"/>
  <c r="O54" i="152" s="1"/>
  <c r="P53" i="152"/>
  <c r="I53" i="152"/>
  <c r="J53" i="152" s="1"/>
  <c r="P52" i="152"/>
  <c r="I52" i="152"/>
  <c r="J52" i="152" s="1"/>
  <c r="P51" i="152"/>
  <c r="I51" i="152"/>
  <c r="J51" i="152" s="1"/>
  <c r="P50" i="152"/>
  <c r="I50" i="152"/>
  <c r="J50" i="152" s="1"/>
  <c r="P49" i="152"/>
  <c r="J49" i="152"/>
  <c r="P48" i="152"/>
  <c r="I48" i="152"/>
  <c r="N48" i="152" s="1"/>
  <c r="O48" i="152" s="1"/>
  <c r="P47" i="152"/>
  <c r="I47" i="152"/>
  <c r="N47" i="152" s="1"/>
  <c r="O47" i="152" s="1"/>
  <c r="P46" i="152"/>
  <c r="I46" i="152"/>
  <c r="J46" i="152" s="1"/>
  <c r="P45" i="152"/>
  <c r="J45" i="152"/>
  <c r="P44" i="152"/>
  <c r="I44" i="152"/>
  <c r="N44" i="152" s="1"/>
  <c r="O44" i="152" s="1"/>
  <c r="P43" i="152"/>
  <c r="I43" i="152"/>
  <c r="J43" i="152" s="1"/>
  <c r="P42" i="152"/>
  <c r="I42" i="152"/>
  <c r="J42" i="152" s="1"/>
  <c r="I41" i="152"/>
  <c r="J41" i="152" s="1"/>
  <c r="N41" i="152" s="1"/>
  <c r="O41" i="152" s="1"/>
  <c r="P40" i="152"/>
  <c r="I40" i="152"/>
  <c r="J40" i="152" s="1"/>
  <c r="P39" i="152"/>
  <c r="H39" i="152"/>
  <c r="J39" i="152" s="1"/>
  <c r="P38" i="152"/>
  <c r="P37" i="152"/>
  <c r="G37" i="152"/>
  <c r="J37" i="152" s="1"/>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C17" i="152"/>
  <c r="D36" i="152" s="1"/>
  <c r="C16" i="152"/>
  <c r="D35" i="152" s="1"/>
  <c r="AD13" i="152"/>
  <c r="AC13" i="152"/>
  <c r="AB13" i="152"/>
  <c r="AA13" i="152"/>
  <c r="Z13" i="152"/>
  <c r="Y13" i="152"/>
  <c r="X13" i="152"/>
  <c r="W13" i="152"/>
  <c r="V13" i="152"/>
  <c r="U13" i="152"/>
  <c r="T13" i="152"/>
  <c r="S13" i="152"/>
  <c r="D11" i="152"/>
  <c r="B11" i="152"/>
  <c r="C11" i="152" s="1"/>
  <c r="C10" i="152"/>
  <c r="C9" i="152"/>
  <c r="A6" i="152"/>
  <c r="A4" i="152"/>
  <c r="I22" i="151"/>
  <c r="I21" i="151"/>
  <c r="N21" i="151" s="1"/>
  <c r="P54" i="151"/>
  <c r="I54" i="151"/>
  <c r="J54" i="151" s="1"/>
  <c r="N54" i="151" s="1"/>
  <c r="O54" i="151" s="1"/>
  <c r="P53" i="151"/>
  <c r="I53" i="151"/>
  <c r="J53" i="151" s="1"/>
  <c r="P52" i="151"/>
  <c r="I52" i="151"/>
  <c r="J52" i="151" s="1"/>
  <c r="P51" i="151"/>
  <c r="I51" i="151"/>
  <c r="J51" i="151" s="1"/>
  <c r="P50" i="151"/>
  <c r="I50" i="151"/>
  <c r="J50" i="151" s="1"/>
  <c r="P49" i="151"/>
  <c r="J49" i="151"/>
  <c r="P48" i="151"/>
  <c r="I48" i="151"/>
  <c r="J48" i="151" s="1"/>
  <c r="P47" i="151"/>
  <c r="I47" i="151"/>
  <c r="N47" i="151" s="1"/>
  <c r="O47" i="151" s="1"/>
  <c r="P46" i="151"/>
  <c r="I46" i="151"/>
  <c r="J46" i="151" s="1"/>
  <c r="P45" i="151"/>
  <c r="J45" i="151"/>
  <c r="P44" i="151"/>
  <c r="I44" i="151"/>
  <c r="N44" i="151" s="1"/>
  <c r="O44" i="151" s="1"/>
  <c r="P43" i="151"/>
  <c r="I43" i="151"/>
  <c r="J43" i="151" s="1"/>
  <c r="P42" i="151"/>
  <c r="I42" i="151"/>
  <c r="J42" i="151" s="1"/>
  <c r="I41" i="151"/>
  <c r="J41" i="151" s="1"/>
  <c r="N41" i="151" s="1"/>
  <c r="O41" i="151" s="1"/>
  <c r="P40" i="151"/>
  <c r="I40" i="151"/>
  <c r="J40" i="151" s="1"/>
  <c r="P39" i="151"/>
  <c r="H39" i="151"/>
  <c r="J39" i="151" s="1"/>
  <c r="P38" i="151"/>
  <c r="P37" i="151"/>
  <c r="G37" i="151"/>
  <c r="J37" i="151" s="1"/>
  <c r="P36" i="151"/>
  <c r="J36" i="151"/>
  <c r="P35" i="151"/>
  <c r="J35" i="151"/>
  <c r="P34" i="151"/>
  <c r="J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J22" i="151"/>
  <c r="C17" i="151"/>
  <c r="D36" i="151" s="1"/>
  <c r="C16" i="151"/>
  <c r="D35" i="151" s="1"/>
  <c r="C15" i="151"/>
  <c r="D34" i="151" s="1"/>
  <c r="AD13" i="151"/>
  <c r="AC13" i="151"/>
  <c r="AB13" i="151"/>
  <c r="AA13" i="151"/>
  <c r="Z13" i="151"/>
  <c r="Y13" i="151"/>
  <c r="X13" i="151"/>
  <c r="W13" i="151"/>
  <c r="V13" i="151"/>
  <c r="U13" i="151"/>
  <c r="T13" i="151"/>
  <c r="S13" i="151"/>
  <c r="D11" i="151"/>
  <c r="B11" i="151"/>
  <c r="C11" i="151" s="1"/>
  <c r="C10" i="151"/>
  <c r="C9" i="151"/>
  <c r="A6" i="151"/>
  <c r="A4" i="151"/>
  <c r="I22" i="150"/>
  <c r="J22" i="150" s="1"/>
  <c r="I21" i="150"/>
  <c r="N21" i="150" s="1"/>
  <c r="O21" i="150" s="1"/>
  <c r="P54" i="150"/>
  <c r="I54" i="150"/>
  <c r="J54" i="150" s="1"/>
  <c r="N54" i="150" s="1"/>
  <c r="O54" i="150" s="1"/>
  <c r="P53" i="150"/>
  <c r="I53" i="150"/>
  <c r="J53" i="150" s="1"/>
  <c r="P52" i="150"/>
  <c r="I52" i="150"/>
  <c r="J52" i="150" s="1"/>
  <c r="P51" i="150"/>
  <c r="I51" i="150"/>
  <c r="J51" i="150" s="1"/>
  <c r="P50" i="150"/>
  <c r="I50" i="150"/>
  <c r="J50" i="150" s="1"/>
  <c r="P49" i="150"/>
  <c r="G49" i="150"/>
  <c r="J49" i="150" s="1"/>
  <c r="P48" i="150"/>
  <c r="I48" i="150"/>
  <c r="J48" i="150" s="1"/>
  <c r="P47" i="150"/>
  <c r="I47" i="150"/>
  <c r="N47" i="150" s="1"/>
  <c r="O47" i="150" s="1"/>
  <c r="P46" i="150"/>
  <c r="I46" i="150"/>
  <c r="J46" i="150" s="1"/>
  <c r="P45" i="150"/>
  <c r="J45" i="150"/>
  <c r="P44" i="150"/>
  <c r="I44" i="150"/>
  <c r="N44" i="150" s="1"/>
  <c r="O44" i="150" s="1"/>
  <c r="P43" i="150"/>
  <c r="I43" i="150"/>
  <c r="J43" i="150" s="1"/>
  <c r="P42" i="150"/>
  <c r="I42" i="150"/>
  <c r="J42" i="150" s="1"/>
  <c r="I41" i="150"/>
  <c r="J41" i="150" s="1"/>
  <c r="N41" i="150" s="1"/>
  <c r="O41" i="150" s="1"/>
  <c r="P40" i="150"/>
  <c r="I40" i="150"/>
  <c r="J40" i="150" s="1"/>
  <c r="P39" i="150"/>
  <c r="H39" i="150"/>
  <c r="J39" i="150" s="1"/>
  <c r="P38" i="150"/>
  <c r="P37" i="150"/>
  <c r="G37" i="150"/>
  <c r="J37" i="150" s="1"/>
  <c r="P36" i="150"/>
  <c r="J36" i="150"/>
  <c r="P35" i="150"/>
  <c r="J35" i="150"/>
  <c r="P34" i="150"/>
  <c r="G34" i="150"/>
  <c r="J34" i="150" s="1"/>
  <c r="P33" i="150"/>
  <c r="I33" i="150"/>
  <c r="J33" i="150" s="1"/>
  <c r="P32" i="150"/>
  <c r="I32" i="150"/>
  <c r="J32" i="150" s="1"/>
  <c r="P31" i="150"/>
  <c r="I31" i="150"/>
  <c r="J31" i="150" s="1"/>
  <c r="P30" i="150"/>
  <c r="I30" i="150"/>
  <c r="J30" i="150" s="1"/>
  <c r="P29" i="150"/>
  <c r="I29" i="150"/>
  <c r="J29" i="150" s="1"/>
  <c r="P28" i="150"/>
  <c r="I28" i="150"/>
  <c r="J28" i="150" s="1"/>
  <c r="P27" i="150"/>
  <c r="I27" i="150"/>
  <c r="J27" i="150" s="1"/>
  <c r="C17" i="150"/>
  <c r="D36" i="150" s="1"/>
  <c r="C16" i="150"/>
  <c r="D35" i="150" s="1"/>
  <c r="C15" i="150"/>
  <c r="AD13" i="150"/>
  <c r="AC13" i="150"/>
  <c r="AB13" i="150"/>
  <c r="AA13" i="150"/>
  <c r="Z13" i="150"/>
  <c r="Y13" i="150"/>
  <c r="X13" i="150"/>
  <c r="W13" i="150"/>
  <c r="V13" i="150"/>
  <c r="U13" i="150"/>
  <c r="T13" i="150"/>
  <c r="S13" i="150"/>
  <c r="D11" i="150"/>
  <c r="B11" i="150"/>
  <c r="C11" i="150" s="1"/>
  <c r="C10" i="150"/>
  <c r="C9" i="150"/>
  <c r="A6" i="150"/>
  <c r="A4" i="150"/>
  <c r="P27" i="149"/>
  <c r="I26" i="149"/>
  <c r="I25" i="149"/>
  <c r="I32" i="149"/>
  <c r="J32" i="149" s="1"/>
  <c r="P32" i="149"/>
  <c r="I33" i="149"/>
  <c r="J33" i="149" s="1"/>
  <c r="P33" i="149"/>
  <c r="I34" i="149"/>
  <c r="J34" i="149" s="1"/>
  <c r="P34" i="149"/>
  <c r="I35" i="149"/>
  <c r="J35" i="149" s="1"/>
  <c r="P35" i="149"/>
  <c r="I36" i="149"/>
  <c r="J36" i="149" s="1"/>
  <c r="P36" i="149"/>
  <c r="I37" i="149"/>
  <c r="J37" i="149" s="1"/>
  <c r="P37" i="149"/>
  <c r="I38" i="149"/>
  <c r="J38" i="149" s="1"/>
  <c r="P38" i="149"/>
  <c r="D39" i="149"/>
  <c r="G39" i="149"/>
  <c r="J39" i="149" s="1"/>
  <c r="P39" i="149"/>
  <c r="J40" i="149"/>
  <c r="P40" i="149"/>
  <c r="D41" i="149"/>
  <c r="G41" i="149"/>
  <c r="J41" i="149" s="1"/>
  <c r="P41" i="149"/>
  <c r="P42" i="149"/>
  <c r="H43" i="149"/>
  <c r="J43" i="149" s="1"/>
  <c r="P43" i="149"/>
  <c r="I45" i="149"/>
  <c r="J45" i="149" s="1"/>
  <c r="P45" i="149"/>
  <c r="I46" i="149"/>
  <c r="J46" i="149" s="1"/>
  <c r="P46" i="149"/>
  <c r="I47" i="149"/>
  <c r="J47" i="149" s="1"/>
  <c r="P47" i="149"/>
  <c r="I48" i="149"/>
  <c r="N48" i="149" s="1"/>
  <c r="O48" i="149" s="1"/>
  <c r="P48" i="149"/>
  <c r="J49" i="149"/>
  <c r="P49" i="149"/>
  <c r="I50" i="149"/>
  <c r="J50" i="149" s="1"/>
  <c r="P50" i="149"/>
  <c r="I51" i="149"/>
  <c r="J51" i="149" s="1"/>
  <c r="P51" i="149"/>
  <c r="J52" i="149"/>
  <c r="D53" i="149"/>
  <c r="G53" i="149"/>
  <c r="J53" i="149" s="1"/>
  <c r="P53" i="149"/>
  <c r="I54" i="149"/>
  <c r="J54" i="149" s="1"/>
  <c r="P54" i="149"/>
  <c r="I55" i="149"/>
  <c r="J55" i="149" s="1"/>
  <c r="N55" i="149" s="1"/>
  <c r="O55" i="149" s="1"/>
  <c r="P55" i="149"/>
  <c r="D56" i="149"/>
  <c r="I56" i="149"/>
  <c r="J56" i="149" s="1"/>
  <c r="P56" i="149"/>
  <c r="I57" i="149"/>
  <c r="J57" i="149" s="1"/>
  <c r="N57" i="149" s="1"/>
  <c r="O57" i="149" s="1"/>
  <c r="P57" i="149"/>
  <c r="D18" i="149"/>
  <c r="D27" i="149" s="1"/>
  <c r="D17" i="149"/>
  <c r="J21" i="150" l="1"/>
  <c r="N48" i="151"/>
  <c r="O48" i="151" s="1"/>
  <c r="J48" i="149"/>
  <c r="L39" i="149"/>
  <c r="O39" i="149" s="1"/>
  <c r="N52" i="149"/>
  <c r="O52" i="149" s="1"/>
  <c r="N56" i="149"/>
  <c r="O56" i="149" s="1"/>
  <c r="L53" i="149"/>
  <c r="O53" i="149" s="1"/>
  <c r="N51" i="149"/>
  <c r="O51" i="149" s="1"/>
  <c r="L41" i="149"/>
  <c r="O41" i="149" s="1"/>
  <c r="D19" i="149"/>
  <c r="L40" i="149"/>
  <c r="O40" i="149" s="1"/>
  <c r="L36" i="152"/>
  <c r="O36" i="152" s="1"/>
  <c r="L36" i="150"/>
  <c r="O36" i="150" s="1"/>
  <c r="L35" i="151"/>
  <c r="O35" i="151" s="1"/>
  <c r="L34" i="151"/>
  <c r="O34" i="151" s="1"/>
  <c r="L34" i="150"/>
  <c r="O34" i="150" s="1"/>
  <c r="L35" i="152"/>
  <c r="O35" i="152" s="1"/>
  <c r="L34" i="152"/>
  <c r="O34" i="152" s="1"/>
  <c r="D31" i="152"/>
  <c r="N31" i="152" s="1"/>
  <c r="O31" i="152" s="1"/>
  <c r="D37" i="150"/>
  <c r="L37" i="150" s="1"/>
  <c r="O37" i="150" s="1"/>
  <c r="D26" i="149"/>
  <c r="N26" i="149" s="1"/>
  <c r="O26" i="149" s="1"/>
  <c r="D27" i="152"/>
  <c r="N27" i="152" s="1"/>
  <c r="O27" i="152" s="1"/>
  <c r="D39" i="152"/>
  <c r="M39" i="152" s="1"/>
  <c r="J47" i="152"/>
  <c r="J47" i="151"/>
  <c r="D37" i="151"/>
  <c r="L37" i="151" s="1"/>
  <c r="O37" i="151" s="1"/>
  <c r="N27" i="149"/>
  <c r="O27" i="149" s="1"/>
  <c r="N48" i="150"/>
  <c r="O48" i="150" s="1"/>
  <c r="D53" i="151"/>
  <c r="N53" i="151" s="1"/>
  <c r="O53" i="151" s="1"/>
  <c r="D22" i="152"/>
  <c r="N22" i="152" s="1"/>
  <c r="O22" i="152" s="1"/>
  <c r="O23" i="152" s="1"/>
  <c r="D22" i="150"/>
  <c r="N22" i="150" s="1"/>
  <c r="D29" i="151"/>
  <c r="N29" i="151" s="1"/>
  <c r="O29" i="151" s="1"/>
  <c r="D52" i="151"/>
  <c r="N52" i="151" s="1"/>
  <c r="O52" i="151" s="1"/>
  <c r="D52" i="152"/>
  <c r="N52" i="152" s="1"/>
  <c r="O52" i="152" s="1"/>
  <c r="D29" i="152"/>
  <c r="N29" i="152" s="1"/>
  <c r="O29" i="152" s="1"/>
  <c r="J22" i="152"/>
  <c r="J21" i="152"/>
  <c r="J44" i="152"/>
  <c r="D49" i="152"/>
  <c r="L49" i="152" s="1"/>
  <c r="O49" i="152" s="1"/>
  <c r="D53" i="152"/>
  <c r="N53" i="152" s="1"/>
  <c r="O53" i="152" s="1"/>
  <c r="D37" i="152"/>
  <c r="L37" i="152" s="1"/>
  <c r="O37" i="152" s="1"/>
  <c r="D28" i="152"/>
  <c r="N28" i="152" s="1"/>
  <c r="O28" i="152" s="1"/>
  <c r="D32" i="152"/>
  <c r="N32" i="152" s="1"/>
  <c r="O32" i="152" s="1"/>
  <c r="D40" i="152"/>
  <c r="N40" i="152" s="1"/>
  <c r="O40" i="152" s="1"/>
  <c r="D45" i="152"/>
  <c r="O45" i="152" s="1"/>
  <c r="J48" i="152"/>
  <c r="D51" i="152"/>
  <c r="N51" i="152" s="1"/>
  <c r="O51" i="152" s="1"/>
  <c r="D30" i="152"/>
  <c r="N30" i="152" s="1"/>
  <c r="O30" i="152" s="1"/>
  <c r="D38" i="152"/>
  <c r="D50" i="152"/>
  <c r="N50" i="152" s="1"/>
  <c r="O50" i="152" s="1"/>
  <c r="O21" i="151"/>
  <c r="J44" i="151"/>
  <c r="D49" i="151"/>
  <c r="L49" i="151" s="1"/>
  <c r="O49" i="151" s="1"/>
  <c r="J21" i="151"/>
  <c r="D28" i="151"/>
  <c r="N28" i="151" s="1"/>
  <c r="O28" i="151" s="1"/>
  <c r="D32" i="151"/>
  <c r="N32" i="151" s="1"/>
  <c r="O32" i="151" s="1"/>
  <c r="L36" i="151"/>
  <c r="O36" i="151" s="1"/>
  <c r="D40" i="151"/>
  <c r="N40" i="151" s="1"/>
  <c r="O40" i="151" s="1"/>
  <c r="D27" i="151"/>
  <c r="N27" i="151" s="1"/>
  <c r="D31" i="151"/>
  <c r="N31" i="151" s="1"/>
  <c r="O31" i="151" s="1"/>
  <c r="D39" i="151"/>
  <c r="M39" i="151" s="1"/>
  <c r="D22" i="151"/>
  <c r="N22" i="151" s="1"/>
  <c r="O22" i="151" s="1"/>
  <c r="D45" i="151"/>
  <c r="O45" i="151" s="1"/>
  <c r="D51" i="151"/>
  <c r="N51" i="151" s="1"/>
  <c r="O51" i="151" s="1"/>
  <c r="D30" i="151"/>
  <c r="N30" i="151" s="1"/>
  <c r="O30" i="151" s="1"/>
  <c r="D38" i="151"/>
  <c r="D50" i="151"/>
  <c r="N50" i="151" s="1"/>
  <c r="O50" i="151" s="1"/>
  <c r="D29" i="150"/>
  <c r="N29" i="150" s="1"/>
  <c r="O29" i="150" s="1"/>
  <c r="J47" i="150"/>
  <c r="J44" i="150"/>
  <c r="D49" i="150"/>
  <c r="L49" i="150" s="1"/>
  <c r="O49" i="150" s="1"/>
  <c r="D53" i="150"/>
  <c r="N53" i="150" s="1"/>
  <c r="O53" i="150" s="1"/>
  <c r="D28" i="150"/>
  <c r="N28" i="150" s="1"/>
  <c r="O28" i="150" s="1"/>
  <c r="D32" i="150"/>
  <c r="N32" i="150" s="1"/>
  <c r="O32" i="150" s="1"/>
  <c r="D40" i="150"/>
  <c r="N40" i="150" s="1"/>
  <c r="O40" i="150" s="1"/>
  <c r="D52" i="150"/>
  <c r="N52" i="150" s="1"/>
  <c r="O52" i="150" s="1"/>
  <c r="D27" i="150"/>
  <c r="N27" i="150" s="1"/>
  <c r="D31" i="150"/>
  <c r="N31" i="150" s="1"/>
  <c r="O31" i="150" s="1"/>
  <c r="L35" i="150"/>
  <c r="O35" i="150" s="1"/>
  <c r="D39" i="150"/>
  <c r="M39" i="150" s="1"/>
  <c r="D45" i="150"/>
  <c r="O45" i="150" s="1"/>
  <c r="D51" i="150"/>
  <c r="N51" i="150" s="1"/>
  <c r="O51" i="150" s="1"/>
  <c r="D30" i="150"/>
  <c r="N30" i="150" s="1"/>
  <c r="O30" i="150" s="1"/>
  <c r="D38" i="150"/>
  <c r="D50" i="150"/>
  <c r="N50" i="150" s="1"/>
  <c r="O50" i="150" s="1"/>
  <c r="N25" i="149"/>
  <c r="J25" i="149"/>
  <c r="AD15" i="149"/>
  <c r="AC15" i="149"/>
  <c r="AB15" i="149"/>
  <c r="AA15" i="149"/>
  <c r="Z15" i="149"/>
  <c r="Y15" i="149"/>
  <c r="X15" i="149"/>
  <c r="W15" i="149"/>
  <c r="V15" i="149"/>
  <c r="U15" i="149"/>
  <c r="T15" i="149"/>
  <c r="S15" i="149"/>
  <c r="AD14" i="149"/>
  <c r="AC14" i="149"/>
  <c r="AB14" i="149"/>
  <c r="AA14" i="149"/>
  <c r="Z14" i="149"/>
  <c r="Y14" i="149"/>
  <c r="X14" i="149"/>
  <c r="W14" i="149"/>
  <c r="V14" i="149"/>
  <c r="U14" i="149"/>
  <c r="T14" i="149"/>
  <c r="S14" i="149"/>
  <c r="AD13" i="149"/>
  <c r="AC13" i="149"/>
  <c r="AB13" i="149"/>
  <c r="AA13" i="149"/>
  <c r="Z13" i="149"/>
  <c r="Y13" i="149"/>
  <c r="X13" i="149"/>
  <c r="W13" i="149"/>
  <c r="V13" i="149"/>
  <c r="U13" i="149"/>
  <c r="T13" i="149"/>
  <c r="S13" i="149"/>
  <c r="D11" i="149"/>
  <c r="B11" i="149"/>
  <c r="C11" i="149" s="1"/>
  <c r="C10" i="149"/>
  <c r="C9" i="149"/>
  <c r="A6" i="149"/>
  <c r="A4" i="149"/>
  <c r="D44" i="149" l="1"/>
  <c r="N44" i="149" s="1"/>
  <c r="O44" i="149" s="1"/>
  <c r="D32" i="149"/>
  <c r="N32" i="149" s="1"/>
  <c r="O32" i="149" s="1"/>
  <c r="D34" i="149"/>
  <c r="N34" i="149" s="1"/>
  <c r="O34" i="149" s="1"/>
  <c r="D35" i="149"/>
  <c r="N35" i="149" s="1"/>
  <c r="O35" i="149" s="1"/>
  <c r="D54" i="149"/>
  <c r="N54" i="149" s="1"/>
  <c r="O54" i="149" s="1"/>
  <c r="D37" i="149"/>
  <c r="N37" i="149" s="1"/>
  <c r="O37" i="149" s="1"/>
  <c r="D33" i="149"/>
  <c r="N33" i="149" s="1"/>
  <c r="O33" i="149" s="1"/>
  <c r="D36" i="149"/>
  <c r="N36" i="149" s="1"/>
  <c r="O36" i="149" s="1"/>
  <c r="D49" i="149"/>
  <c r="O49" i="149" s="1"/>
  <c r="D43" i="149"/>
  <c r="M43" i="149" s="1"/>
  <c r="O43" i="149" s="1"/>
  <c r="D45" i="149"/>
  <c r="N45" i="149" s="1"/>
  <c r="O45" i="149" s="1"/>
  <c r="L59" i="149"/>
  <c r="L61" i="149" s="1"/>
  <c r="O69" i="149" s="1"/>
  <c r="M56" i="152"/>
  <c r="M58" i="152" s="1"/>
  <c r="O39" i="152"/>
  <c r="N23" i="152"/>
  <c r="D42" i="152" s="1"/>
  <c r="N42" i="152" s="1"/>
  <c r="O42" i="152" s="1"/>
  <c r="L56" i="150"/>
  <c r="L58" i="150" s="1"/>
  <c r="O66" i="150" s="1"/>
  <c r="N23" i="151"/>
  <c r="D43" i="151" s="1"/>
  <c r="N43" i="151" s="1"/>
  <c r="O43" i="151" s="1"/>
  <c r="L56" i="152"/>
  <c r="L58" i="152" s="1"/>
  <c r="O66" i="152" s="1"/>
  <c r="O23" i="151"/>
  <c r="M56" i="151"/>
  <c r="M58" i="151" s="1"/>
  <c r="O39" i="151"/>
  <c r="L56" i="151"/>
  <c r="L58" i="151" s="1"/>
  <c r="O66" i="151" s="1"/>
  <c r="O27" i="151"/>
  <c r="O22" i="150"/>
  <c r="O23" i="150" s="1"/>
  <c r="N23" i="150"/>
  <c r="O27" i="150"/>
  <c r="M56" i="150"/>
  <c r="M58" i="150" s="1"/>
  <c r="O39" i="150"/>
  <c r="N28" i="149"/>
  <c r="O25" i="149"/>
  <c r="O28" i="149" s="1"/>
  <c r="M59" i="149" l="1"/>
  <c r="M61" i="149" s="1"/>
  <c r="D33" i="152"/>
  <c r="N33" i="152" s="1"/>
  <c r="O33" i="152" s="1"/>
  <c r="D46" i="151"/>
  <c r="N46" i="151" s="1"/>
  <c r="O46" i="151" s="1"/>
  <c r="D46" i="152"/>
  <c r="N46" i="152" s="1"/>
  <c r="O46" i="152" s="1"/>
  <c r="D43" i="152"/>
  <c r="N43" i="152" s="1"/>
  <c r="O43" i="152" s="1"/>
  <c r="D42" i="151"/>
  <c r="N42" i="151" s="1"/>
  <c r="O42" i="151" s="1"/>
  <c r="D33" i="151"/>
  <c r="N33" i="151" s="1"/>
  <c r="O33" i="151" s="1"/>
  <c r="D42" i="150"/>
  <c r="N42" i="150" s="1"/>
  <c r="O42" i="150" s="1"/>
  <c r="D43" i="150"/>
  <c r="N43" i="150" s="1"/>
  <c r="O43" i="150" s="1"/>
  <c r="D46" i="150"/>
  <c r="N46" i="150" s="1"/>
  <c r="O46" i="150" s="1"/>
  <c r="D33" i="150"/>
  <c r="N33" i="150" s="1"/>
  <c r="O64" i="149"/>
  <c r="D50" i="149"/>
  <c r="N50" i="149" s="1"/>
  <c r="O50" i="149" s="1"/>
  <c r="D47" i="149"/>
  <c r="N47" i="149" s="1"/>
  <c r="O47" i="149" s="1"/>
  <c r="D38" i="149"/>
  <c r="N38" i="149" s="1"/>
  <c r="D46" i="149"/>
  <c r="N46" i="149" s="1"/>
  <c r="O46" i="149" s="1"/>
  <c r="O33" i="150" l="1"/>
  <c r="O38" i="149"/>
  <c r="P54" i="148" l="1"/>
  <c r="I54" i="148"/>
  <c r="J54" i="148" s="1"/>
  <c r="N54" i="148" s="1"/>
  <c r="O54" i="148" s="1"/>
  <c r="P53" i="148"/>
  <c r="I53" i="148"/>
  <c r="J53" i="148" s="1"/>
  <c r="P52" i="148"/>
  <c r="I52" i="148"/>
  <c r="J52" i="148" s="1"/>
  <c r="P51" i="148"/>
  <c r="I51" i="148"/>
  <c r="J51" i="148" s="1"/>
  <c r="P50" i="148"/>
  <c r="I50" i="148"/>
  <c r="J50" i="148" s="1"/>
  <c r="P49" i="148"/>
  <c r="J49" i="148"/>
  <c r="P48" i="148"/>
  <c r="I48" i="148"/>
  <c r="N48" i="148" s="1"/>
  <c r="O48" i="148" s="1"/>
  <c r="P47" i="148"/>
  <c r="I47" i="148"/>
  <c r="J47" i="148" s="1"/>
  <c r="P46" i="148"/>
  <c r="I46" i="148"/>
  <c r="J46" i="148" s="1"/>
  <c r="P45" i="148"/>
  <c r="J45" i="148"/>
  <c r="P44" i="148"/>
  <c r="I44" i="148"/>
  <c r="N44" i="148" s="1"/>
  <c r="O44" i="148" s="1"/>
  <c r="P43" i="148"/>
  <c r="I43" i="148"/>
  <c r="J43" i="148" s="1"/>
  <c r="P42" i="148"/>
  <c r="I42" i="148"/>
  <c r="J42" i="148" s="1"/>
  <c r="I41" i="148"/>
  <c r="J41" i="148" s="1"/>
  <c r="N41" i="148" s="1"/>
  <c r="O41" i="148" s="1"/>
  <c r="P40" i="148"/>
  <c r="I40" i="148"/>
  <c r="J40" i="148" s="1"/>
  <c r="P39" i="148"/>
  <c r="H39" i="148"/>
  <c r="J39" i="148" s="1"/>
  <c r="P38" i="148"/>
  <c r="P37" i="148"/>
  <c r="J37" i="148"/>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J22" i="148"/>
  <c r="N21" i="148"/>
  <c r="O21" i="148" s="1"/>
  <c r="J21" i="148"/>
  <c r="C17" i="148"/>
  <c r="D36" i="148" s="1"/>
  <c r="O36" i="148" s="1"/>
  <c r="C16" i="148"/>
  <c r="C15" i="148"/>
  <c r="D39" i="148" s="1"/>
  <c r="AD13" i="148"/>
  <c r="AC13" i="148"/>
  <c r="AB13" i="148"/>
  <c r="AA13" i="148"/>
  <c r="Z13" i="148"/>
  <c r="Y13" i="148"/>
  <c r="X13" i="148"/>
  <c r="W13" i="148"/>
  <c r="V13" i="148"/>
  <c r="U13" i="148"/>
  <c r="T13" i="148"/>
  <c r="S13" i="148"/>
  <c r="D11" i="148"/>
  <c r="B11" i="148"/>
  <c r="C11" i="148" s="1"/>
  <c r="C10" i="148"/>
  <c r="C9" i="148"/>
  <c r="A6" i="148"/>
  <c r="A4" i="148"/>
  <c r="P54" i="147"/>
  <c r="I54" i="147"/>
  <c r="J54" i="147" s="1"/>
  <c r="N54" i="147" s="1"/>
  <c r="O54" i="147" s="1"/>
  <c r="P53" i="147"/>
  <c r="I53" i="147"/>
  <c r="J53" i="147" s="1"/>
  <c r="P52" i="147"/>
  <c r="I52" i="147"/>
  <c r="J52" i="147" s="1"/>
  <c r="P51" i="147"/>
  <c r="I51" i="147"/>
  <c r="J51" i="147" s="1"/>
  <c r="P50" i="147"/>
  <c r="I50" i="147"/>
  <c r="J50" i="147" s="1"/>
  <c r="P49" i="147"/>
  <c r="G49" i="147"/>
  <c r="J49" i="147" s="1"/>
  <c r="P48" i="147"/>
  <c r="I48" i="147"/>
  <c r="N48" i="147" s="1"/>
  <c r="O48" i="147" s="1"/>
  <c r="P47" i="147"/>
  <c r="I47" i="147"/>
  <c r="N47" i="147" s="1"/>
  <c r="O47" i="147" s="1"/>
  <c r="P46" i="147"/>
  <c r="I46" i="147"/>
  <c r="J46" i="147" s="1"/>
  <c r="P45" i="147"/>
  <c r="J45" i="147"/>
  <c r="P44" i="147"/>
  <c r="I44" i="147"/>
  <c r="N44" i="147" s="1"/>
  <c r="O44" i="147" s="1"/>
  <c r="P43" i="147"/>
  <c r="I43" i="147"/>
  <c r="J43" i="147" s="1"/>
  <c r="P42" i="147"/>
  <c r="I42" i="147"/>
  <c r="J42" i="147" s="1"/>
  <c r="I41" i="147"/>
  <c r="J41" i="147" s="1"/>
  <c r="N41" i="147" s="1"/>
  <c r="O41" i="147" s="1"/>
  <c r="P40" i="147"/>
  <c r="I40" i="147"/>
  <c r="J40" i="147" s="1"/>
  <c r="P39" i="147"/>
  <c r="H39" i="147"/>
  <c r="J39" i="147" s="1"/>
  <c r="P38" i="147"/>
  <c r="P37" i="147"/>
  <c r="G37" i="147"/>
  <c r="J37" i="147" s="1"/>
  <c r="P36" i="147"/>
  <c r="G36" i="147"/>
  <c r="J36" i="147" s="1"/>
  <c r="P35" i="147"/>
  <c r="G35" i="147"/>
  <c r="J35" i="147" s="1"/>
  <c r="P34" i="147"/>
  <c r="G34" i="147"/>
  <c r="J34" i="147" s="1"/>
  <c r="P33" i="147"/>
  <c r="I33" i="147"/>
  <c r="J33" i="147" s="1"/>
  <c r="P32" i="147"/>
  <c r="I32" i="147"/>
  <c r="J32" i="147" s="1"/>
  <c r="P31" i="147"/>
  <c r="I31" i="147"/>
  <c r="J31" i="147" s="1"/>
  <c r="P30" i="147"/>
  <c r="I30" i="147"/>
  <c r="J30" i="147" s="1"/>
  <c r="P29" i="147"/>
  <c r="I29" i="147"/>
  <c r="J29" i="147" s="1"/>
  <c r="P28" i="147"/>
  <c r="I28" i="147"/>
  <c r="J28" i="147" s="1"/>
  <c r="P27" i="147"/>
  <c r="I27" i="147"/>
  <c r="J27" i="147" s="1"/>
  <c r="J22" i="147"/>
  <c r="N21" i="147"/>
  <c r="O21" i="147" s="1"/>
  <c r="J21" i="147"/>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D53" i="120"/>
  <c r="AC12" i="136"/>
  <c r="AC12" i="142"/>
  <c r="T12" i="138"/>
  <c r="AB13" i="133"/>
  <c r="T19" i="132"/>
  <c r="G40" i="129"/>
  <c r="J40" i="129" s="1"/>
  <c r="AA12" i="141"/>
  <c r="G31" i="119"/>
  <c r="J31" i="119" s="1"/>
  <c r="X15" i="126"/>
  <c r="AD18" i="132"/>
  <c r="AD17" i="132"/>
  <c r="AB16" i="132"/>
  <c r="Y16" i="100"/>
  <c r="P61" i="145"/>
  <c r="P60" i="145"/>
  <c r="P59" i="145"/>
  <c r="P58" i="145"/>
  <c r="P57" i="145"/>
  <c r="P56" i="145"/>
  <c r="P55" i="145"/>
  <c r="P54" i="145"/>
  <c r="P53" i="145"/>
  <c r="P52" i="145"/>
  <c r="P51" i="145"/>
  <c r="P50" i="145"/>
  <c r="P49" i="145"/>
  <c r="P48" i="145"/>
  <c r="P47" i="145"/>
  <c r="P46" i="145"/>
  <c r="P45" i="145"/>
  <c r="P44" i="145"/>
  <c r="P43" i="145"/>
  <c r="P42" i="145"/>
  <c r="P41" i="145"/>
  <c r="P40" i="145"/>
  <c r="P39" i="145"/>
  <c r="P38" i="145"/>
  <c r="P37" i="145"/>
  <c r="P36" i="145"/>
  <c r="P35" i="145"/>
  <c r="P34" i="145"/>
  <c r="G41" i="130"/>
  <c r="H39" i="139"/>
  <c r="J39" i="139" s="1"/>
  <c r="H40" i="136"/>
  <c r="J40" i="136" s="1"/>
  <c r="H41" i="142"/>
  <c r="J41" i="142" s="1"/>
  <c r="D52" i="120"/>
  <c r="I42" i="156" s="1"/>
  <c r="J42" i="156" s="1"/>
  <c r="N42" i="156" s="1"/>
  <c r="D67" i="136"/>
  <c r="L56" i="136"/>
  <c r="L58" i="136" s="1"/>
  <c r="P54" i="136"/>
  <c r="I54" i="136"/>
  <c r="J54" i="136" s="1"/>
  <c r="N54" i="136" s="1"/>
  <c r="O54" i="136" s="1"/>
  <c r="P53" i="136"/>
  <c r="I53" i="136"/>
  <c r="J53" i="136" s="1"/>
  <c r="P52" i="136"/>
  <c r="I52" i="136"/>
  <c r="J52" i="136" s="1"/>
  <c r="P51" i="136"/>
  <c r="I51" i="136"/>
  <c r="J51" i="136" s="1"/>
  <c r="P50" i="136"/>
  <c r="I50" i="136"/>
  <c r="J50" i="136" s="1"/>
  <c r="P49" i="136"/>
  <c r="I49" i="136"/>
  <c r="N49" i="136" s="1"/>
  <c r="O49" i="136" s="1"/>
  <c r="P48" i="136"/>
  <c r="I48" i="136"/>
  <c r="P47" i="136"/>
  <c r="I47" i="136"/>
  <c r="J47" i="136" s="1"/>
  <c r="P46" i="136"/>
  <c r="I46" i="136"/>
  <c r="N46" i="136" s="1"/>
  <c r="O46" i="136" s="1"/>
  <c r="P45" i="136"/>
  <c r="I45" i="136"/>
  <c r="J45" i="136" s="1"/>
  <c r="P44" i="136"/>
  <c r="I44" i="136"/>
  <c r="I43" i="136"/>
  <c r="J43" i="136" s="1"/>
  <c r="P42" i="136"/>
  <c r="I42" i="136"/>
  <c r="J42" i="136" s="1"/>
  <c r="P41" i="136"/>
  <c r="H41" i="136"/>
  <c r="P40" i="136"/>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C16" i="136"/>
  <c r="D39" i="136" s="1"/>
  <c r="C15" i="136"/>
  <c r="C14" i="136"/>
  <c r="AD12" i="136"/>
  <c r="AA12" i="136"/>
  <c r="Z12" i="136"/>
  <c r="W12" i="136"/>
  <c r="V12" i="136"/>
  <c r="S12" i="136"/>
  <c r="D10" i="136"/>
  <c r="B10" i="136"/>
  <c r="C10" i="136" s="1"/>
  <c r="C9" i="136"/>
  <c r="C8" i="136"/>
  <c r="A6" i="136"/>
  <c r="A4" i="136"/>
  <c r="D68" i="142"/>
  <c r="L57" i="142"/>
  <c r="L59" i="142" s="1"/>
  <c r="P55" i="142"/>
  <c r="I55" i="142"/>
  <c r="J55" i="142" s="1"/>
  <c r="N55" i="142" s="1"/>
  <c r="O55" i="142" s="1"/>
  <c r="P54" i="142"/>
  <c r="I54" i="142"/>
  <c r="J54" i="142" s="1"/>
  <c r="P53" i="142"/>
  <c r="I53" i="142"/>
  <c r="J53" i="142" s="1"/>
  <c r="P52" i="142"/>
  <c r="I52" i="142"/>
  <c r="J52" i="142" s="1"/>
  <c r="P51" i="142"/>
  <c r="I51" i="142"/>
  <c r="J51" i="142" s="1"/>
  <c r="P50" i="142"/>
  <c r="I50" i="142"/>
  <c r="N50" i="142" s="1"/>
  <c r="O50" i="142" s="1"/>
  <c r="P49" i="142"/>
  <c r="I49" i="142"/>
  <c r="J49" i="142" s="1"/>
  <c r="P48" i="142"/>
  <c r="I48" i="142"/>
  <c r="J48" i="142" s="1"/>
  <c r="P47" i="142"/>
  <c r="I47" i="142"/>
  <c r="J47" i="142" s="1"/>
  <c r="P46" i="142"/>
  <c r="I46" i="142"/>
  <c r="P45" i="142"/>
  <c r="I45" i="142"/>
  <c r="J45" i="142" s="1"/>
  <c r="P44" i="142"/>
  <c r="I44" i="142"/>
  <c r="J44" i="142" s="1"/>
  <c r="P43" i="142"/>
  <c r="I43" i="142"/>
  <c r="J43" i="142" s="1"/>
  <c r="P42" i="142"/>
  <c r="H42" i="142"/>
  <c r="J42" i="142" s="1"/>
  <c r="P41" i="142"/>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D17" i="142" s="1"/>
  <c r="C16" i="142"/>
  <c r="D53" i="142" s="1"/>
  <c r="C15" i="142"/>
  <c r="C14" i="142"/>
  <c r="AD12" i="142"/>
  <c r="W12" i="142"/>
  <c r="S12" i="142"/>
  <c r="D10" i="142"/>
  <c r="B10" i="142"/>
  <c r="C10" i="142" s="1"/>
  <c r="C9" i="142"/>
  <c r="C8" i="142"/>
  <c r="A6" i="142"/>
  <c r="A4" i="142"/>
  <c r="D68" i="141"/>
  <c r="L57" i="141"/>
  <c r="L59" i="141" s="1"/>
  <c r="P55" i="141"/>
  <c r="I55" i="141"/>
  <c r="J55" i="141" s="1"/>
  <c r="N55" i="141" s="1"/>
  <c r="O55" i="141" s="1"/>
  <c r="P54" i="141"/>
  <c r="I54" i="141"/>
  <c r="J54" i="141" s="1"/>
  <c r="P53" i="141"/>
  <c r="I53" i="141"/>
  <c r="J53" i="141" s="1"/>
  <c r="P52" i="141"/>
  <c r="I52" i="141"/>
  <c r="J52" i="141" s="1"/>
  <c r="P51" i="141"/>
  <c r="I51" i="141"/>
  <c r="J51" i="141" s="1"/>
  <c r="P50" i="141"/>
  <c r="I50" i="14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51" i="141" s="1"/>
  <c r="C15" i="141"/>
  <c r="C14" i="141"/>
  <c r="AD12" i="141"/>
  <c r="AC12" i="141"/>
  <c r="AB12" i="141"/>
  <c r="Z12" i="141"/>
  <c r="Y12" i="141"/>
  <c r="W12" i="141"/>
  <c r="U12" i="141"/>
  <c r="T12" i="141"/>
  <c r="S12" i="141"/>
  <c r="D10" i="141"/>
  <c r="B10" i="141"/>
  <c r="C10" i="141" s="1"/>
  <c r="C9" i="141"/>
  <c r="C8" i="141"/>
  <c r="A6" i="141"/>
  <c r="A4" i="141"/>
  <c r="L51" i="133"/>
  <c r="L53" i="133" s="1"/>
  <c r="P49" i="133"/>
  <c r="I49" i="133"/>
  <c r="J49" i="133" s="1"/>
  <c r="N49" i="133" s="1"/>
  <c r="O49" i="133" s="1"/>
  <c r="P48" i="133"/>
  <c r="I48" i="133"/>
  <c r="J48" i="133" s="1"/>
  <c r="P47" i="133"/>
  <c r="I47" i="133"/>
  <c r="J47" i="133" s="1"/>
  <c r="P46" i="133"/>
  <c r="I46" i="133"/>
  <c r="J46" i="133" s="1"/>
  <c r="P45" i="133"/>
  <c r="I45" i="133"/>
  <c r="J45" i="133" s="1"/>
  <c r="P44" i="133"/>
  <c r="I44" i="133"/>
  <c r="N44" i="133" s="1"/>
  <c r="O44" i="133" s="1"/>
  <c r="P43" i="133"/>
  <c r="I43" i="133"/>
  <c r="N43" i="133" s="1"/>
  <c r="O43" i="133" s="1"/>
  <c r="P42" i="133"/>
  <c r="I42" i="133"/>
  <c r="J42" i="133" s="1"/>
  <c r="P41" i="133"/>
  <c r="I41" i="133"/>
  <c r="N41" i="133" s="1"/>
  <c r="O41" i="133" s="1"/>
  <c r="P40" i="133"/>
  <c r="I40" i="133"/>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O21" i="133" s="1"/>
  <c r="J21" i="133"/>
  <c r="C15" i="133"/>
  <c r="D35" i="133" s="1"/>
  <c r="AD13" i="133"/>
  <c r="AC13" i="133"/>
  <c r="X13" i="133"/>
  <c r="U13" i="133"/>
  <c r="T13" i="133"/>
  <c r="S13" i="133"/>
  <c r="D11" i="133"/>
  <c r="B11" i="133"/>
  <c r="C11" i="133" s="1"/>
  <c r="C10" i="133"/>
  <c r="C9" i="133"/>
  <c r="A6" i="133"/>
  <c r="A4" i="133"/>
  <c r="L48" i="132"/>
  <c r="L50" i="132" s="1"/>
  <c r="P46" i="132"/>
  <c r="I46" i="132"/>
  <c r="J46" i="132" s="1"/>
  <c r="N46" i="132" s="1"/>
  <c r="O46" i="132" s="1"/>
  <c r="P45" i="132"/>
  <c r="I45" i="132"/>
  <c r="J45" i="132" s="1"/>
  <c r="P44" i="132"/>
  <c r="I44" i="132"/>
  <c r="J44" i="132" s="1"/>
  <c r="N44" i="132" s="1"/>
  <c r="O44" i="132" s="1"/>
  <c r="P43" i="132"/>
  <c r="I43" i="132"/>
  <c r="J43" i="132" s="1"/>
  <c r="P42" i="132"/>
  <c r="I42" i="132"/>
  <c r="J42" i="132" s="1"/>
  <c r="P41" i="132"/>
  <c r="I41" i="132"/>
  <c r="N41" i="132" s="1"/>
  <c r="O41" i="132" s="1"/>
  <c r="P40" i="132"/>
  <c r="I40" i="132"/>
  <c r="J40" i="132" s="1"/>
  <c r="P39" i="132"/>
  <c r="I39" i="132"/>
  <c r="J39" i="132" s="1"/>
  <c r="P38" i="132"/>
  <c r="I38" i="132"/>
  <c r="J38" i="132" s="1"/>
  <c r="P37" i="132"/>
  <c r="I37" i="132"/>
  <c r="J37" i="132" s="1"/>
  <c r="P36" i="132"/>
  <c r="I36" i="132"/>
  <c r="J36" i="132" s="1"/>
  <c r="P34" i="132"/>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B19" i="132"/>
  <c r="W19" i="132"/>
  <c r="V19" i="132"/>
  <c r="U19" i="132"/>
  <c r="S19" i="132"/>
  <c r="N19" i="132"/>
  <c r="O19" i="132" s="1"/>
  <c r="J19" i="132"/>
  <c r="AA18" i="132"/>
  <c r="Z18" i="132"/>
  <c r="Y18" i="132"/>
  <c r="X18" i="132"/>
  <c r="W18" i="132"/>
  <c r="U18" i="132"/>
  <c r="AA17" i="132"/>
  <c r="Z17" i="132"/>
  <c r="Y17" i="132"/>
  <c r="X17" i="132"/>
  <c r="W17" i="132"/>
  <c r="AC16" i="132"/>
  <c r="Z16" i="132"/>
  <c r="Y16" i="132"/>
  <c r="X16" i="132"/>
  <c r="T16" i="132"/>
  <c r="C15" i="132"/>
  <c r="D20" i="132" s="1"/>
  <c r="C14" i="132"/>
  <c r="D10" i="132"/>
  <c r="B10" i="132"/>
  <c r="C10" i="132" s="1"/>
  <c r="C9" i="132"/>
  <c r="C8" i="132"/>
  <c r="A5" i="132"/>
  <c r="L54" i="131"/>
  <c r="L56" i="131" s="1"/>
  <c r="P52" i="131"/>
  <c r="I52" i="131"/>
  <c r="J52" i="131" s="1"/>
  <c r="N52" i="131" s="1"/>
  <c r="O52" i="131" s="1"/>
  <c r="P51" i="131"/>
  <c r="I51" i="131"/>
  <c r="J51" i="131" s="1"/>
  <c r="P50" i="131"/>
  <c r="I50" i="131"/>
  <c r="J50" i="131" s="1"/>
  <c r="N50" i="131" s="1"/>
  <c r="O50" i="131" s="1"/>
  <c r="P49" i="131"/>
  <c r="I49" i="131"/>
  <c r="J49" i="131" s="1"/>
  <c r="P48" i="131"/>
  <c r="I48" i="131"/>
  <c r="N48" i="131" s="1"/>
  <c r="O48" i="131" s="1"/>
  <c r="P47" i="131"/>
  <c r="I47" i="131"/>
  <c r="J47" i="131" s="1"/>
  <c r="P46" i="131"/>
  <c r="I46" i="131"/>
  <c r="J46" i="131" s="1"/>
  <c r="P45" i="131"/>
  <c r="I45" i="131"/>
  <c r="N45" i="131" s="1"/>
  <c r="O45" i="131" s="1"/>
  <c r="P44" i="131"/>
  <c r="I44" i="131"/>
  <c r="J44" i="131" s="1"/>
  <c r="P43" i="131"/>
  <c r="I43" i="131"/>
  <c r="J43" i="131" s="1"/>
  <c r="P42" i="131"/>
  <c r="I42" i="131"/>
  <c r="J42" i="131" s="1"/>
  <c r="P40" i="13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O25" i="131" s="1"/>
  <c r="J25" i="131"/>
  <c r="D17" i="131"/>
  <c r="D11" i="131"/>
  <c r="B11" i="131"/>
  <c r="C11" i="131" s="1"/>
  <c r="C10" i="131"/>
  <c r="C9" i="131"/>
  <c r="A6" i="131"/>
  <c r="A4" i="131"/>
  <c r="D73" i="130"/>
  <c r="P60" i="130"/>
  <c r="I60" i="130"/>
  <c r="J60" i="130" s="1"/>
  <c r="N60" i="130" s="1"/>
  <c r="O60" i="130" s="1"/>
  <c r="P59" i="130"/>
  <c r="I59" i="130"/>
  <c r="J59" i="130" s="1"/>
  <c r="P58" i="130"/>
  <c r="I58" i="130"/>
  <c r="J58" i="130" s="1"/>
  <c r="P57" i="130"/>
  <c r="I57" i="130"/>
  <c r="J57" i="130" s="1"/>
  <c r="P56" i="130"/>
  <c r="I56" i="130"/>
  <c r="J56" i="130" s="1"/>
  <c r="P55" i="130"/>
  <c r="G55" i="130"/>
  <c r="J55" i="130" s="1"/>
  <c r="D55" i="130"/>
  <c r="P54" i="130"/>
  <c r="I54" i="130"/>
  <c r="J54" i="130" s="1"/>
  <c r="P53" i="130"/>
  <c r="I53" i="130"/>
  <c r="N53" i="130" s="1"/>
  <c r="O53" i="130" s="1"/>
  <c r="P52" i="130"/>
  <c r="I52" i="130"/>
  <c r="J52" i="130" s="1"/>
  <c r="P51" i="130"/>
  <c r="J51" i="130"/>
  <c r="P50" i="130"/>
  <c r="J50" i="130"/>
  <c r="P49" i="130"/>
  <c r="I49" i="130"/>
  <c r="N49" i="130" s="1"/>
  <c r="O49" i="130" s="1"/>
  <c r="P48" i="130"/>
  <c r="I48" i="130"/>
  <c r="J48" i="130" s="1"/>
  <c r="P47" i="130"/>
  <c r="I47" i="130"/>
  <c r="J47" i="130" s="1"/>
  <c r="I46" i="130"/>
  <c r="J46" i="130" s="1"/>
  <c r="P45" i="130"/>
  <c r="I45" i="130"/>
  <c r="J45" i="130" s="1"/>
  <c r="P44" i="130"/>
  <c r="H44" i="130"/>
  <c r="P43" i="130"/>
  <c r="H43" i="130"/>
  <c r="J43" i="130" s="1"/>
  <c r="P42" i="130"/>
  <c r="P41" i="130"/>
  <c r="D41" i="130"/>
  <c r="P40" i="130"/>
  <c r="G40" i="130"/>
  <c r="J40" i="130" s="1"/>
  <c r="D40" i="130"/>
  <c r="P39" i="130"/>
  <c r="G39" i="130"/>
  <c r="J39" i="130" s="1"/>
  <c r="D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C16" i="130"/>
  <c r="D43" i="130" s="1"/>
  <c r="C15" i="130"/>
  <c r="C14" i="130"/>
  <c r="AD12" i="130"/>
  <c r="AC12" i="130"/>
  <c r="AB12" i="130"/>
  <c r="AA12" i="130"/>
  <c r="Z12" i="130"/>
  <c r="Y12" i="130"/>
  <c r="X12" i="130"/>
  <c r="W12" i="130"/>
  <c r="V12" i="130"/>
  <c r="U12" i="130"/>
  <c r="T12" i="130"/>
  <c r="S12" i="130"/>
  <c r="D10" i="130"/>
  <c r="B10" i="130"/>
  <c r="C10" i="130" s="1"/>
  <c r="C9" i="130"/>
  <c r="C8" i="130"/>
  <c r="A6" i="130"/>
  <c r="A4" i="130"/>
  <c r="D74" i="129"/>
  <c r="P61" i="129"/>
  <c r="I61" i="129"/>
  <c r="J61" i="129" s="1"/>
  <c r="N61" i="129" s="1"/>
  <c r="O61" i="129" s="1"/>
  <c r="P60" i="129"/>
  <c r="I60" i="129"/>
  <c r="J60" i="129" s="1"/>
  <c r="P59" i="129"/>
  <c r="I59" i="129"/>
  <c r="J59" i="129" s="1"/>
  <c r="P58" i="129"/>
  <c r="I58" i="129"/>
  <c r="J58" i="129" s="1"/>
  <c r="P57" i="129"/>
  <c r="I57" i="129"/>
  <c r="J57" i="129" s="1"/>
  <c r="P56" i="129"/>
  <c r="G56" i="129"/>
  <c r="J56" i="129" s="1"/>
  <c r="D56" i="129"/>
  <c r="P55" i="129"/>
  <c r="I55" i="129"/>
  <c r="P54" i="129"/>
  <c r="I54" i="129"/>
  <c r="J54" i="129" s="1"/>
  <c r="P53" i="129"/>
  <c r="I53" i="129"/>
  <c r="J53" i="129" s="1"/>
  <c r="P52" i="129"/>
  <c r="J52" i="129"/>
  <c r="P51" i="129"/>
  <c r="J51" i="129"/>
  <c r="P50" i="129"/>
  <c r="I50" i="129"/>
  <c r="N50" i="129" s="1"/>
  <c r="O50" i="129" s="1"/>
  <c r="P49" i="129"/>
  <c r="I49" i="129"/>
  <c r="J49" i="129" s="1"/>
  <c r="P48" i="129"/>
  <c r="I48" i="129"/>
  <c r="J48" i="129" s="1"/>
  <c r="P47" i="129"/>
  <c r="I47" i="129"/>
  <c r="J47" i="129" s="1"/>
  <c r="P46" i="129"/>
  <c r="I46" i="129"/>
  <c r="J46" i="129" s="1"/>
  <c r="P45" i="129"/>
  <c r="H45" i="129"/>
  <c r="J45" i="129" s="1"/>
  <c r="P44" i="129"/>
  <c r="P43" i="129"/>
  <c r="P42" i="129"/>
  <c r="D42" i="129"/>
  <c r="P41" i="129"/>
  <c r="G41" i="129"/>
  <c r="J41" i="129" s="1"/>
  <c r="D41" i="129"/>
  <c r="P40" i="129"/>
  <c r="D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C17" i="129"/>
  <c r="D17" i="129" s="1"/>
  <c r="C16" i="129"/>
  <c r="D46" i="129" s="1"/>
  <c r="C15" i="129"/>
  <c r="C14" i="129"/>
  <c r="AD12" i="129"/>
  <c r="AB12" i="129"/>
  <c r="AA12" i="129"/>
  <c r="W12" i="129"/>
  <c r="U12" i="129"/>
  <c r="T12" i="129"/>
  <c r="S12" i="129"/>
  <c r="D10" i="129"/>
  <c r="B10" i="129"/>
  <c r="C10" i="129" s="1"/>
  <c r="C9" i="129"/>
  <c r="C8" i="129"/>
  <c r="A6" i="129"/>
  <c r="A4" i="129"/>
  <c r="I61" i="145"/>
  <c r="J61" i="145" s="1"/>
  <c r="N61" i="145" s="1"/>
  <c r="O61" i="145" s="1"/>
  <c r="I60" i="145"/>
  <c r="J60" i="145" s="1"/>
  <c r="I59" i="145"/>
  <c r="J59" i="145" s="1"/>
  <c r="I58" i="145"/>
  <c r="J58" i="145" s="1"/>
  <c r="I57" i="145"/>
  <c r="J57" i="145" s="1"/>
  <c r="G56" i="145"/>
  <c r="J56" i="145" s="1"/>
  <c r="D56" i="145"/>
  <c r="I55" i="145"/>
  <c r="I54" i="145"/>
  <c r="J54" i="145" s="1"/>
  <c r="I53" i="145"/>
  <c r="J53" i="145" s="1"/>
  <c r="I50" i="145"/>
  <c r="J50" i="145" s="1"/>
  <c r="I49" i="145"/>
  <c r="J49" i="145" s="1"/>
  <c r="I48" i="145"/>
  <c r="J48" i="145" s="1"/>
  <c r="I47" i="145"/>
  <c r="J47" i="145" s="1"/>
  <c r="O46" i="145"/>
  <c r="I46" i="145"/>
  <c r="J46" i="145" s="1"/>
  <c r="H45" i="145"/>
  <c r="H44" i="145"/>
  <c r="J44" i="145" s="1"/>
  <c r="G42" i="145"/>
  <c r="J42" i="145" s="1"/>
  <c r="D42" i="145"/>
  <c r="G41" i="145"/>
  <c r="J41" i="145" s="1"/>
  <c r="D41" i="145"/>
  <c r="D40" i="145"/>
  <c r="O39" i="145"/>
  <c r="I39" i="145"/>
  <c r="J39" i="145" s="1"/>
  <c r="I38" i="145"/>
  <c r="J38" i="145" s="1"/>
  <c r="I37" i="145"/>
  <c r="J37" i="145" s="1"/>
  <c r="I36" i="145"/>
  <c r="J36" i="145" s="1"/>
  <c r="I35" i="145"/>
  <c r="J35" i="145" s="1"/>
  <c r="I34" i="145"/>
  <c r="J34" i="145" s="1"/>
  <c r="J29" i="145"/>
  <c r="J28" i="145"/>
  <c r="N26" i="145"/>
  <c r="O26" i="145" s="1"/>
  <c r="J26" i="145"/>
  <c r="C17" i="145"/>
  <c r="C16" i="145"/>
  <c r="D46" i="145" s="1"/>
  <c r="C15" i="145"/>
  <c r="C14" i="145"/>
  <c r="D10" i="145"/>
  <c r="B10" i="145"/>
  <c r="C10" i="145" s="1"/>
  <c r="C9" i="145"/>
  <c r="C8" i="145"/>
  <c r="A6" i="145"/>
  <c r="D67" i="139"/>
  <c r="P54" i="139"/>
  <c r="I54" i="139"/>
  <c r="J54" i="139" s="1"/>
  <c r="N54" i="139" s="1"/>
  <c r="O54" i="139" s="1"/>
  <c r="P53" i="139"/>
  <c r="I53" i="139"/>
  <c r="J53" i="139" s="1"/>
  <c r="P52" i="139"/>
  <c r="I52" i="139"/>
  <c r="J52" i="139" s="1"/>
  <c r="P51" i="139"/>
  <c r="I51" i="139"/>
  <c r="J51" i="139" s="1"/>
  <c r="P50" i="139"/>
  <c r="I50" i="139"/>
  <c r="J50" i="139" s="1"/>
  <c r="P49" i="139"/>
  <c r="G49" i="139"/>
  <c r="J49" i="139" s="1"/>
  <c r="D49" i="139"/>
  <c r="P48" i="139"/>
  <c r="I48" i="139"/>
  <c r="N48" i="139" s="1"/>
  <c r="O48" i="139" s="1"/>
  <c r="P47" i="139"/>
  <c r="I47" i="139"/>
  <c r="N47" i="139" s="1"/>
  <c r="O47" i="139" s="1"/>
  <c r="P46" i="139"/>
  <c r="I46" i="139"/>
  <c r="J46" i="139" s="1"/>
  <c r="P45" i="139"/>
  <c r="J45" i="139"/>
  <c r="P44" i="139"/>
  <c r="J44" i="139"/>
  <c r="P43" i="139"/>
  <c r="I43" i="139"/>
  <c r="J43" i="139" s="1"/>
  <c r="P42" i="139"/>
  <c r="I42" i="139"/>
  <c r="J42" i="139" s="1"/>
  <c r="P41" i="139"/>
  <c r="I41" i="139"/>
  <c r="J41" i="139" s="1"/>
  <c r="P40" i="139"/>
  <c r="I40" i="139"/>
  <c r="J40" i="139" s="1"/>
  <c r="P39" i="139"/>
  <c r="P38" i="139"/>
  <c r="P37" i="139"/>
  <c r="G37" i="139"/>
  <c r="J37" i="139" s="1"/>
  <c r="D37" i="139"/>
  <c r="P36" i="139"/>
  <c r="G36" i="139"/>
  <c r="J36" i="139" s="1"/>
  <c r="D36" i="139"/>
  <c r="P35" i="139"/>
  <c r="D35" i="139"/>
  <c r="P34" i="139"/>
  <c r="I34" i="139"/>
  <c r="J34" i="139" s="1"/>
  <c r="P33" i="139"/>
  <c r="I33" i="139"/>
  <c r="J33" i="139" s="1"/>
  <c r="P32" i="139"/>
  <c r="I32" i="139"/>
  <c r="J32" i="139" s="1"/>
  <c r="P31" i="139"/>
  <c r="I31" i="139"/>
  <c r="J31" i="139" s="1"/>
  <c r="P30" i="139"/>
  <c r="I30" i="139"/>
  <c r="J30" i="139" s="1"/>
  <c r="P29" i="139"/>
  <c r="I29" i="139"/>
  <c r="J29" i="139" s="1"/>
  <c r="J24" i="139"/>
  <c r="N23" i="139"/>
  <c r="O23" i="139" s="1"/>
  <c r="J23" i="139"/>
  <c r="C16" i="139"/>
  <c r="D51" i="139" s="1"/>
  <c r="C15" i="139"/>
  <c r="C14" i="139"/>
  <c r="AD12" i="139"/>
  <c r="AB12" i="139"/>
  <c r="W12" i="139"/>
  <c r="V12" i="139"/>
  <c r="U12" i="139"/>
  <c r="T12" i="139"/>
  <c r="S12" i="139"/>
  <c r="D10" i="139"/>
  <c r="B10" i="139"/>
  <c r="C10" i="139" s="1"/>
  <c r="C9" i="139"/>
  <c r="C8" i="139"/>
  <c r="A6" i="139"/>
  <c r="A4" i="139"/>
  <c r="D67" i="138"/>
  <c r="P54" i="138"/>
  <c r="I54" i="138"/>
  <c r="J54" i="138" s="1"/>
  <c r="N54" i="138" s="1"/>
  <c r="O54" i="138" s="1"/>
  <c r="P53" i="138"/>
  <c r="I53" i="138"/>
  <c r="J53" i="138" s="1"/>
  <c r="P52" i="138"/>
  <c r="I52" i="138"/>
  <c r="J52" i="138" s="1"/>
  <c r="P51" i="138"/>
  <c r="I51" i="138"/>
  <c r="J51" i="138" s="1"/>
  <c r="P50" i="138"/>
  <c r="I50" i="138"/>
  <c r="J50" i="138" s="1"/>
  <c r="P49" i="138"/>
  <c r="G49" i="138"/>
  <c r="J49" i="138" s="1"/>
  <c r="D49" i="138"/>
  <c r="P48" i="138"/>
  <c r="I48" i="138"/>
  <c r="N48" i="138" s="1"/>
  <c r="O48" i="138" s="1"/>
  <c r="P47" i="138"/>
  <c r="I47" i="138"/>
  <c r="J47" i="138" s="1"/>
  <c r="P46" i="138"/>
  <c r="I46" i="138"/>
  <c r="J46" i="138" s="1"/>
  <c r="P45" i="138"/>
  <c r="J45" i="138"/>
  <c r="P44" i="138"/>
  <c r="J44" i="138"/>
  <c r="P43" i="138"/>
  <c r="I43" i="138"/>
  <c r="N43" i="138" s="1"/>
  <c r="O43" i="138" s="1"/>
  <c r="P42" i="138"/>
  <c r="I42" i="138"/>
  <c r="J42" i="138" s="1"/>
  <c r="P41" i="138"/>
  <c r="I41" i="138"/>
  <c r="J41" i="138" s="1"/>
  <c r="P40" i="138"/>
  <c r="I40" i="138"/>
  <c r="J40" i="138" s="1"/>
  <c r="P39" i="138"/>
  <c r="H39" i="138"/>
  <c r="J39" i="138" s="1"/>
  <c r="P38" i="138"/>
  <c r="P37" i="138"/>
  <c r="G37" i="138"/>
  <c r="J37" i="138" s="1"/>
  <c r="D37" i="138"/>
  <c r="P36" i="138"/>
  <c r="G36" i="138"/>
  <c r="J36" i="138" s="1"/>
  <c r="D36" i="138"/>
  <c r="P35" i="138"/>
  <c r="D35" i="138"/>
  <c r="P34" i="138"/>
  <c r="I34" i="138"/>
  <c r="J34" i="138" s="1"/>
  <c r="P33" i="138"/>
  <c r="I33" i="138"/>
  <c r="J33" i="138" s="1"/>
  <c r="P32" i="138"/>
  <c r="I32" i="138"/>
  <c r="J32" i="138" s="1"/>
  <c r="P31" i="138"/>
  <c r="I31" i="138"/>
  <c r="J31" i="138" s="1"/>
  <c r="P30" i="138"/>
  <c r="I30" i="138"/>
  <c r="J30" i="138" s="1"/>
  <c r="P29" i="138"/>
  <c r="I29" i="138"/>
  <c r="J29" i="138" s="1"/>
  <c r="J24" i="138"/>
  <c r="N23" i="138"/>
  <c r="O23" i="138" s="1"/>
  <c r="J23" i="138"/>
  <c r="C16" i="138"/>
  <c r="D51" i="138" s="1"/>
  <c r="C15" i="138"/>
  <c r="C14" i="138"/>
  <c r="AD12" i="138"/>
  <c r="AC12" i="138"/>
  <c r="AA12" i="138"/>
  <c r="W12" i="138"/>
  <c r="V12" i="138"/>
  <c r="U12" i="138"/>
  <c r="S12" i="138"/>
  <c r="D10" i="138"/>
  <c r="B10" i="138"/>
  <c r="C10" i="138" s="1"/>
  <c r="C9" i="138"/>
  <c r="C8" i="138"/>
  <c r="A6" i="138"/>
  <c r="A4" i="138"/>
  <c r="P52" i="119"/>
  <c r="I52" i="119"/>
  <c r="J52" i="119" s="1"/>
  <c r="N52" i="119" s="1"/>
  <c r="O52" i="119" s="1"/>
  <c r="P51" i="119"/>
  <c r="I51" i="119"/>
  <c r="J51" i="119" s="1"/>
  <c r="D51" i="119"/>
  <c r="P50" i="119"/>
  <c r="I50" i="119"/>
  <c r="J50" i="119" s="1"/>
  <c r="P49" i="119"/>
  <c r="I49" i="119"/>
  <c r="J49" i="119" s="1"/>
  <c r="P48" i="119"/>
  <c r="I48" i="119"/>
  <c r="J48" i="119" s="1"/>
  <c r="P47" i="119"/>
  <c r="G47" i="119"/>
  <c r="J47" i="119" s="1"/>
  <c r="D47" i="119"/>
  <c r="P46" i="119"/>
  <c r="N46" i="119"/>
  <c r="O46" i="119" s="1"/>
  <c r="I46" i="119"/>
  <c r="J46" i="119" s="1"/>
  <c r="P45" i="119"/>
  <c r="I45" i="119"/>
  <c r="N45" i="119" s="1"/>
  <c r="O45" i="119" s="1"/>
  <c r="P44" i="119"/>
  <c r="I44" i="119"/>
  <c r="J44" i="119" s="1"/>
  <c r="P43" i="119"/>
  <c r="J43" i="119"/>
  <c r="P42" i="119"/>
  <c r="J42" i="119"/>
  <c r="P41" i="119"/>
  <c r="I41" i="119"/>
  <c r="J41" i="119" s="1"/>
  <c r="P40" i="119"/>
  <c r="I40" i="119"/>
  <c r="J40" i="119" s="1"/>
  <c r="P39" i="119"/>
  <c r="I39" i="119"/>
  <c r="J39" i="119" s="1"/>
  <c r="P38" i="119"/>
  <c r="I38" i="119"/>
  <c r="J38" i="119" s="1"/>
  <c r="N38" i="119" s="1"/>
  <c r="O38" i="119" s="1"/>
  <c r="P37" i="119"/>
  <c r="I37" i="119"/>
  <c r="J37" i="119" s="1"/>
  <c r="P36" i="119"/>
  <c r="H36" i="119"/>
  <c r="J36" i="119" s="1"/>
  <c r="P35" i="119"/>
  <c r="P34" i="119"/>
  <c r="G34" i="119"/>
  <c r="J34" i="119" s="1"/>
  <c r="D34" i="119"/>
  <c r="P33" i="119"/>
  <c r="G33" i="119"/>
  <c r="D33" i="119"/>
  <c r="P32" i="119"/>
  <c r="G32" i="119"/>
  <c r="J32" i="119" s="1"/>
  <c r="D32" i="119"/>
  <c r="P31" i="119"/>
  <c r="D31" i="119"/>
  <c r="P30" i="119"/>
  <c r="I30" i="119"/>
  <c r="J30" i="119" s="1"/>
  <c r="P29" i="119"/>
  <c r="I29" i="119"/>
  <c r="J29" i="119" s="1"/>
  <c r="P28" i="119"/>
  <c r="I28" i="119"/>
  <c r="J28" i="119" s="1"/>
  <c r="P27" i="119"/>
  <c r="I27" i="119"/>
  <c r="J27" i="119" s="1"/>
  <c r="P26" i="119"/>
  <c r="I26" i="119"/>
  <c r="J26" i="119" s="1"/>
  <c r="P25" i="119"/>
  <c r="I25" i="119"/>
  <c r="J25" i="119" s="1"/>
  <c r="J20" i="119"/>
  <c r="N19" i="119"/>
  <c r="O19" i="119" s="1"/>
  <c r="J19" i="119"/>
  <c r="C15" i="119"/>
  <c r="D36" i="119" s="1"/>
  <c r="AD13" i="119"/>
  <c r="AC13" i="119"/>
  <c r="AB13" i="119"/>
  <c r="W13" i="119"/>
  <c r="D11" i="119"/>
  <c r="B11" i="119"/>
  <c r="C11" i="119" s="1"/>
  <c r="C10" i="119"/>
  <c r="C9" i="119"/>
  <c r="A5" i="119"/>
  <c r="A4" i="119"/>
  <c r="P54" i="128"/>
  <c r="I54" i="128"/>
  <c r="J54" i="128" s="1"/>
  <c r="N54" i="128" s="1"/>
  <c r="O54" i="128" s="1"/>
  <c r="P53" i="128"/>
  <c r="I53" i="128"/>
  <c r="J53" i="128" s="1"/>
  <c r="P52" i="128"/>
  <c r="I52" i="128"/>
  <c r="J52" i="128" s="1"/>
  <c r="P51" i="128"/>
  <c r="I51" i="128"/>
  <c r="J51" i="128" s="1"/>
  <c r="P50" i="128"/>
  <c r="I50" i="128"/>
  <c r="J50" i="128" s="1"/>
  <c r="P49" i="128"/>
  <c r="G49" i="128"/>
  <c r="J49" i="128" s="1"/>
  <c r="P48" i="128"/>
  <c r="I48" i="128"/>
  <c r="N48" i="128" s="1"/>
  <c r="O48" i="128" s="1"/>
  <c r="P47" i="128"/>
  <c r="I47" i="128"/>
  <c r="N47" i="128" s="1"/>
  <c r="O47" i="128" s="1"/>
  <c r="P46" i="128"/>
  <c r="I46" i="128"/>
  <c r="J46" i="128" s="1"/>
  <c r="P45" i="128"/>
  <c r="J45" i="128"/>
  <c r="P44" i="128"/>
  <c r="I44" i="128"/>
  <c r="J44" i="128" s="1"/>
  <c r="P43" i="128"/>
  <c r="I43" i="128"/>
  <c r="P42" i="128"/>
  <c r="I42" i="128"/>
  <c r="J42" i="128" s="1"/>
  <c r="I41" i="128"/>
  <c r="J41" i="128" s="1"/>
  <c r="N41" i="128" s="1"/>
  <c r="O41" i="128" s="1"/>
  <c r="P40" i="128"/>
  <c r="I40" i="128"/>
  <c r="J40" i="128" s="1"/>
  <c r="P39" i="128"/>
  <c r="H39" i="128"/>
  <c r="J39" i="128" s="1"/>
  <c r="P38" i="128"/>
  <c r="P37" i="128"/>
  <c r="G37" i="128"/>
  <c r="J37" i="128" s="1"/>
  <c r="P36" i="128"/>
  <c r="G36" i="128"/>
  <c r="J36" i="128" s="1"/>
  <c r="P35" i="128"/>
  <c r="G35" i="128"/>
  <c r="J35" i="128" s="1"/>
  <c r="P34" i="128"/>
  <c r="G34" i="128"/>
  <c r="J34" i="128" s="1"/>
  <c r="P33" i="128"/>
  <c r="I33" i="128"/>
  <c r="J33" i="128" s="1"/>
  <c r="P32" i="128"/>
  <c r="I32" i="128"/>
  <c r="J32" i="128" s="1"/>
  <c r="P31" i="128"/>
  <c r="I31" i="128"/>
  <c r="J31" i="128" s="1"/>
  <c r="P30" i="128"/>
  <c r="I30" i="128"/>
  <c r="J30" i="128" s="1"/>
  <c r="P29" i="128"/>
  <c r="I29" i="128"/>
  <c r="J29" i="128" s="1"/>
  <c r="P28" i="128"/>
  <c r="I28" i="128"/>
  <c r="J28" i="128" s="1"/>
  <c r="P27" i="128"/>
  <c r="I27" i="128"/>
  <c r="J27" i="128" s="1"/>
  <c r="J22" i="128"/>
  <c r="N21" i="128"/>
  <c r="O21" i="128" s="1"/>
  <c r="J21" i="128"/>
  <c r="C17" i="128"/>
  <c r="D36" i="128" s="1"/>
  <c r="C16" i="128"/>
  <c r="C15" i="128"/>
  <c r="D51" i="128" s="1"/>
  <c r="AD13" i="128"/>
  <c r="AC13" i="128"/>
  <c r="AA13" i="128"/>
  <c r="U13" i="128"/>
  <c r="T13" i="128"/>
  <c r="S13" i="128"/>
  <c r="D11" i="128"/>
  <c r="B11" i="128"/>
  <c r="C11" i="128" s="1"/>
  <c r="C10" i="128"/>
  <c r="C9" i="128"/>
  <c r="A6" i="128"/>
  <c r="A4" i="128"/>
  <c r="P53" i="37"/>
  <c r="I53" i="37"/>
  <c r="J53" i="37" s="1"/>
  <c r="N53" i="37" s="1"/>
  <c r="O53" i="37" s="1"/>
  <c r="P52" i="37"/>
  <c r="I52" i="37"/>
  <c r="J52" i="37" s="1"/>
  <c r="P51" i="37"/>
  <c r="I51" i="37"/>
  <c r="J51" i="37" s="1"/>
  <c r="P50" i="37"/>
  <c r="I50" i="37"/>
  <c r="J50" i="37" s="1"/>
  <c r="P49" i="37"/>
  <c r="I49" i="37"/>
  <c r="J49" i="37" s="1"/>
  <c r="P48" i="37"/>
  <c r="G48" i="37"/>
  <c r="J48" i="37" s="1"/>
  <c r="D48" i="37"/>
  <c r="P47" i="37"/>
  <c r="I47" i="37"/>
  <c r="N47" i="37" s="1"/>
  <c r="O47" i="37" s="1"/>
  <c r="P46" i="37"/>
  <c r="I46" i="37"/>
  <c r="J46" i="37" s="1"/>
  <c r="P45" i="37"/>
  <c r="I45" i="37"/>
  <c r="J45" i="37" s="1"/>
  <c r="P44" i="37"/>
  <c r="J44" i="37"/>
  <c r="P43" i="37"/>
  <c r="I43" i="37"/>
  <c r="N43" i="37" s="1"/>
  <c r="O43" i="37" s="1"/>
  <c r="P42" i="37"/>
  <c r="I42" i="37"/>
  <c r="P41" i="37"/>
  <c r="I41" i="37"/>
  <c r="J41" i="37" s="1"/>
  <c r="P40" i="37"/>
  <c r="I40" i="37"/>
  <c r="J40" i="37" s="1"/>
  <c r="N40" i="37" s="1"/>
  <c r="O40" i="37" s="1"/>
  <c r="P39" i="37"/>
  <c r="I39" i="37"/>
  <c r="J39" i="37" s="1"/>
  <c r="P38" i="37"/>
  <c r="H38" i="37"/>
  <c r="J38" i="37" s="1"/>
  <c r="P37" i="37"/>
  <c r="P36" i="37"/>
  <c r="G36" i="37"/>
  <c r="J36" i="37" s="1"/>
  <c r="D36" i="37"/>
  <c r="P35" i="37"/>
  <c r="G35" i="37"/>
  <c r="J35" i="37" s="1"/>
  <c r="D35" i="37"/>
  <c r="P34" i="37"/>
  <c r="D34" i="37"/>
  <c r="P33" i="37"/>
  <c r="I33" i="37"/>
  <c r="J33" i="37" s="1"/>
  <c r="P32" i="37"/>
  <c r="I32" i="37"/>
  <c r="J32" i="37" s="1"/>
  <c r="P31" i="37"/>
  <c r="I31" i="37"/>
  <c r="J31" i="37" s="1"/>
  <c r="P30" i="37"/>
  <c r="I30" i="37"/>
  <c r="J30" i="37" s="1"/>
  <c r="P29" i="37"/>
  <c r="I29" i="37"/>
  <c r="J29" i="37" s="1"/>
  <c r="P28" i="37"/>
  <c r="I28" i="37"/>
  <c r="J28" i="37" s="1"/>
  <c r="P27" i="37"/>
  <c r="I27" i="37"/>
  <c r="J27" i="37" s="1"/>
  <c r="J22" i="37"/>
  <c r="N21" i="37"/>
  <c r="O21" i="37" s="1"/>
  <c r="J21" i="37"/>
  <c r="C15" i="37"/>
  <c r="AA13" i="37"/>
  <c r="Z13" i="37"/>
  <c r="W13" i="37"/>
  <c r="V13" i="37"/>
  <c r="U13" i="37"/>
  <c r="D11" i="37"/>
  <c r="B11" i="37"/>
  <c r="C11" i="37" s="1"/>
  <c r="C10" i="37"/>
  <c r="C9" i="37"/>
  <c r="A6" i="37"/>
  <c r="A4" i="37"/>
  <c r="P57" i="140"/>
  <c r="I57" i="140"/>
  <c r="J57" i="140" s="1"/>
  <c r="N57" i="140" s="1"/>
  <c r="O57" i="140" s="1"/>
  <c r="P56" i="140"/>
  <c r="I56" i="140"/>
  <c r="J56" i="140" s="1"/>
  <c r="P55" i="140"/>
  <c r="I55" i="140"/>
  <c r="J55" i="140" s="1"/>
  <c r="N55" i="140" s="1"/>
  <c r="O55" i="140" s="1"/>
  <c r="P54" i="140"/>
  <c r="I54" i="140"/>
  <c r="J54" i="140" s="1"/>
  <c r="P53" i="140"/>
  <c r="G53" i="140"/>
  <c r="J53" i="140" s="1"/>
  <c r="D53" i="140"/>
  <c r="P52" i="140"/>
  <c r="I52" i="140"/>
  <c r="N52" i="140" s="1"/>
  <c r="O52" i="140" s="1"/>
  <c r="P51" i="140"/>
  <c r="I51" i="140"/>
  <c r="N51" i="140" s="1"/>
  <c r="O51" i="140" s="1"/>
  <c r="P50" i="140"/>
  <c r="I50" i="140"/>
  <c r="J50" i="140" s="1"/>
  <c r="P49" i="140"/>
  <c r="J49" i="140"/>
  <c r="P48" i="140"/>
  <c r="I48" i="140"/>
  <c r="N48" i="140" s="1"/>
  <c r="O48" i="140" s="1"/>
  <c r="P47" i="140"/>
  <c r="I47" i="140"/>
  <c r="P46" i="140"/>
  <c r="I46" i="140"/>
  <c r="J46" i="140" s="1"/>
  <c r="P45" i="140"/>
  <c r="I45" i="140"/>
  <c r="J45" i="140" s="1"/>
  <c r="P43" i="140"/>
  <c r="H43" i="140"/>
  <c r="J43" i="140" s="1"/>
  <c r="P42" i="140"/>
  <c r="P41" i="140"/>
  <c r="G41" i="140"/>
  <c r="J41" i="140" s="1"/>
  <c r="D41" i="140"/>
  <c r="P40" i="140"/>
  <c r="G40" i="140"/>
  <c r="J40" i="140" s="1"/>
  <c r="D40" i="140"/>
  <c r="P39" i="140"/>
  <c r="D39" i="140"/>
  <c r="P38" i="140"/>
  <c r="I38" i="140"/>
  <c r="J38" i="140" s="1"/>
  <c r="P37" i="140"/>
  <c r="I37" i="140"/>
  <c r="J37" i="140" s="1"/>
  <c r="P36" i="140"/>
  <c r="I36" i="140"/>
  <c r="J36" i="140" s="1"/>
  <c r="P35" i="140"/>
  <c r="I35" i="140"/>
  <c r="J35" i="140" s="1"/>
  <c r="P34" i="140"/>
  <c r="I34" i="140"/>
  <c r="J34" i="140" s="1"/>
  <c r="P33" i="140"/>
  <c r="I33" i="140"/>
  <c r="J33" i="140" s="1"/>
  <c r="P32" i="140"/>
  <c r="I32" i="140"/>
  <c r="J32" i="140" s="1"/>
  <c r="J27" i="140"/>
  <c r="J26" i="140"/>
  <c r="N25" i="140"/>
  <c r="O25" i="140" s="1"/>
  <c r="J25" i="140"/>
  <c r="D18" i="140"/>
  <c r="D27" i="140" s="1"/>
  <c r="N27" i="140" s="1"/>
  <c r="O27" i="140" s="1"/>
  <c r="D17" i="140"/>
  <c r="D44" i="140" s="1"/>
  <c r="N44" i="140" s="1"/>
  <c r="D11" i="140"/>
  <c r="B11" i="140"/>
  <c r="C11" i="140" s="1"/>
  <c r="C10" i="140"/>
  <c r="C9" i="140"/>
  <c r="A6" i="140"/>
  <c r="A4" i="140"/>
  <c r="P51" i="126"/>
  <c r="I51" i="126"/>
  <c r="J51" i="126" s="1"/>
  <c r="N51" i="126" s="1"/>
  <c r="O51" i="126" s="1"/>
  <c r="P50" i="126"/>
  <c r="I50" i="126"/>
  <c r="J50" i="126" s="1"/>
  <c r="P49" i="126"/>
  <c r="I49" i="126"/>
  <c r="J49" i="126" s="1"/>
  <c r="N49" i="126" s="1"/>
  <c r="O49" i="126" s="1"/>
  <c r="P48" i="126"/>
  <c r="I48" i="126"/>
  <c r="J48" i="126" s="1"/>
  <c r="P47" i="126"/>
  <c r="G47" i="126"/>
  <c r="J47" i="126" s="1"/>
  <c r="D47" i="126"/>
  <c r="P46" i="126"/>
  <c r="I46" i="126"/>
  <c r="N46" i="126" s="1"/>
  <c r="O46" i="126" s="1"/>
  <c r="P45" i="126"/>
  <c r="I45" i="126"/>
  <c r="N45" i="126" s="1"/>
  <c r="O45" i="126" s="1"/>
  <c r="P44" i="126"/>
  <c r="I44" i="126"/>
  <c r="J44" i="126" s="1"/>
  <c r="P43" i="126"/>
  <c r="J43" i="126"/>
  <c r="P42" i="126"/>
  <c r="I42" i="126"/>
  <c r="J42" i="126" s="1"/>
  <c r="P41" i="126"/>
  <c r="I41" i="126"/>
  <c r="P40" i="126"/>
  <c r="I40" i="126"/>
  <c r="J40" i="126" s="1"/>
  <c r="P39" i="126"/>
  <c r="I39" i="126"/>
  <c r="J39" i="126" s="1"/>
  <c r="P37" i="126"/>
  <c r="H37" i="126"/>
  <c r="J37" i="126" s="1"/>
  <c r="P36" i="126"/>
  <c r="P35" i="126"/>
  <c r="G35" i="126"/>
  <c r="J35" i="126" s="1"/>
  <c r="D35" i="126"/>
  <c r="P34" i="126"/>
  <c r="G34" i="126"/>
  <c r="D34" i="126"/>
  <c r="P33" i="126"/>
  <c r="G33" i="126"/>
  <c r="D33" i="126"/>
  <c r="P32" i="126"/>
  <c r="D32" i="126"/>
  <c r="P31" i="126"/>
  <c r="I31" i="126"/>
  <c r="J31" i="126" s="1"/>
  <c r="P30" i="126"/>
  <c r="I30" i="126"/>
  <c r="J30" i="126" s="1"/>
  <c r="P29" i="126"/>
  <c r="I29" i="126"/>
  <c r="J29" i="126" s="1"/>
  <c r="P28" i="126"/>
  <c r="I28" i="126"/>
  <c r="J28" i="126" s="1"/>
  <c r="P27" i="126"/>
  <c r="I27" i="126"/>
  <c r="J27" i="126" s="1"/>
  <c r="P26" i="126"/>
  <c r="I26" i="126"/>
  <c r="J26" i="126" s="1"/>
  <c r="P25" i="126"/>
  <c r="I25" i="126"/>
  <c r="J25" i="126" s="1"/>
  <c r="J20" i="126"/>
  <c r="N19" i="126"/>
  <c r="O19" i="126" s="1"/>
  <c r="J19" i="126"/>
  <c r="AD15" i="126"/>
  <c r="AC15" i="126"/>
  <c r="AB15" i="126"/>
  <c r="AA15" i="126"/>
  <c r="Y15" i="126"/>
  <c r="W15" i="126"/>
  <c r="V15" i="126"/>
  <c r="U15" i="126"/>
  <c r="T15" i="126"/>
  <c r="S15" i="126"/>
  <c r="C15" i="126"/>
  <c r="D38" i="126" s="1"/>
  <c r="N38" i="126" s="1"/>
  <c r="D11" i="126"/>
  <c r="B11" i="126"/>
  <c r="C11" i="126" s="1"/>
  <c r="C10" i="126"/>
  <c r="C9" i="126"/>
  <c r="A6" i="126"/>
  <c r="A4" i="126"/>
  <c r="P57" i="127"/>
  <c r="I57" i="127"/>
  <c r="J57" i="127" s="1"/>
  <c r="N57" i="127" s="1"/>
  <c r="O57" i="127" s="1"/>
  <c r="P56" i="127"/>
  <c r="I56" i="127"/>
  <c r="J56" i="127" s="1"/>
  <c r="D56" i="127"/>
  <c r="P55" i="127"/>
  <c r="I55" i="127"/>
  <c r="J55" i="127" s="1"/>
  <c r="N55" i="127" s="1"/>
  <c r="O55" i="127" s="1"/>
  <c r="P54" i="127"/>
  <c r="I54" i="127"/>
  <c r="J54" i="127" s="1"/>
  <c r="P53" i="127"/>
  <c r="G53" i="127"/>
  <c r="J53" i="127" s="1"/>
  <c r="D53" i="127"/>
  <c r="P52" i="127"/>
  <c r="I52" i="127"/>
  <c r="N52" i="127" s="1"/>
  <c r="O52" i="127" s="1"/>
  <c r="P51" i="127"/>
  <c r="I51" i="127"/>
  <c r="N51" i="127" s="1"/>
  <c r="O51" i="127" s="1"/>
  <c r="P50" i="127"/>
  <c r="I50" i="127"/>
  <c r="J50" i="127" s="1"/>
  <c r="P49" i="127"/>
  <c r="J49" i="127"/>
  <c r="P48" i="127"/>
  <c r="I48" i="127"/>
  <c r="N48" i="127" s="1"/>
  <c r="O48" i="127" s="1"/>
  <c r="P47" i="127"/>
  <c r="I47" i="127"/>
  <c r="J47" i="127" s="1"/>
  <c r="P46" i="127"/>
  <c r="I46" i="127"/>
  <c r="J46" i="127" s="1"/>
  <c r="P45" i="127"/>
  <c r="I45" i="127"/>
  <c r="J45" i="127" s="1"/>
  <c r="P43" i="127"/>
  <c r="H43" i="127"/>
  <c r="J43" i="127" s="1"/>
  <c r="P42" i="127"/>
  <c r="P41" i="127"/>
  <c r="G41" i="127"/>
  <c r="J41" i="127" s="1"/>
  <c r="D41" i="127"/>
  <c r="P40" i="127"/>
  <c r="G40" i="127"/>
  <c r="J40" i="127" s="1"/>
  <c r="P39" i="127"/>
  <c r="G39" i="127"/>
  <c r="J39" i="127" s="1"/>
  <c r="P38" i="127"/>
  <c r="D38" i="127"/>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D19" i="127"/>
  <c r="D40" i="127" s="1"/>
  <c r="D18" i="127"/>
  <c r="D39" i="127" s="1"/>
  <c r="D17" i="127"/>
  <c r="D44" i="127" s="1"/>
  <c r="N44" i="127" s="1"/>
  <c r="AD15" i="127"/>
  <c r="AC15" i="127"/>
  <c r="AB15" i="127"/>
  <c r="Z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C10" i="127"/>
  <c r="C9" i="127"/>
  <c r="A6" i="127"/>
  <c r="A4" i="127"/>
  <c r="P50" i="100"/>
  <c r="I50" i="100"/>
  <c r="J50" i="100" s="1"/>
  <c r="N50" i="100" s="1"/>
  <c r="O50" i="100" s="1"/>
  <c r="P49" i="100"/>
  <c r="I49" i="100"/>
  <c r="J49" i="100" s="1"/>
  <c r="P48" i="100"/>
  <c r="I48" i="100"/>
  <c r="J48" i="100" s="1"/>
  <c r="N48" i="100" s="1"/>
  <c r="O48" i="100" s="1"/>
  <c r="P47" i="100"/>
  <c r="I47" i="100"/>
  <c r="J47" i="100" s="1"/>
  <c r="P46" i="100"/>
  <c r="G46" i="100"/>
  <c r="J46" i="100" s="1"/>
  <c r="D46" i="100"/>
  <c r="P45" i="100"/>
  <c r="I45" i="100"/>
  <c r="N45" i="100" s="1"/>
  <c r="O45" i="100" s="1"/>
  <c r="P44" i="100"/>
  <c r="I44" i="100"/>
  <c r="N44" i="100" s="1"/>
  <c r="O44" i="100" s="1"/>
  <c r="P43" i="100"/>
  <c r="I43" i="100"/>
  <c r="J43" i="100" s="1"/>
  <c r="P42" i="100"/>
  <c r="J42" i="100"/>
  <c r="P41" i="100"/>
  <c r="I41" i="100"/>
  <c r="N41" i="100" s="1"/>
  <c r="O41" i="100" s="1"/>
  <c r="P40" i="100"/>
  <c r="I40" i="100"/>
  <c r="J40" i="100" s="1"/>
  <c r="P39" i="100"/>
  <c r="I39" i="100"/>
  <c r="J39" i="100" s="1"/>
  <c r="P38" i="100"/>
  <c r="I38" i="100"/>
  <c r="J38" i="100" s="1"/>
  <c r="P36" i="100"/>
  <c r="H36" i="100"/>
  <c r="J36" i="100" s="1"/>
  <c r="P35" i="100"/>
  <c r="P34" i="100"/>
  <c r="G34" i="100"/>
  <c r="J34" i="100" s="1"/>
  <c r="D34" i="100"/>
  <c r="P33" i="100"/>
  <c r="G33" i="100"/>
  <c r="J33" i="100" s="1"/>
  <c r="D33" i="100"/>
  <c r="P32" i="100"/>
  <c r="G32" i="100"/>
  <c r="J32" i="100" s="1"/>
  <c r="D32" i="100"/>
  <c r="P31" i="100"/>
  <c r="I31" i="100"/>
  <c r="J31" i="100" s="1"/>
  <c r="P30" i="100"/>
  <c r="I30" i="100"/>
  <c r="J30" i="100" s="1"/>
  <c r="P29" i="100"/>
  <c r="I29" i="100"/>
  <c r="J29" i="100" s="1"/>
  <c r="P28" i="100"/>
  <c r="I28" i="100"/>
  <c r="J28" i="100" s="1"/>
  <c r="P27" i="100"/>
  <c r="I27" i="100"/>
  <c r="J27" i="100" s="1"/>
  <c r="P26" i="100"/>
  <c r="I26" i="100"/>
  <c r="J26" i="100" s="1"/>
  <c r="P25" i="100"/>
  <c r="I25" i="100"/>
  <c r="J25" i="100" s="1"/>
  <c r="J20" i="100"/>
  <c r="AD19" i="100"/>
  <c r="AC19" i="100"/>
  <c r="AB19" i="100"/>
  <c r="AA19" i="100"/>
  <c r="Y19" i="100"/>
  <c r="W19" i="100"/>
  <c r="V19" i="100"/>
  <c r="U19" i="100"/>
  <c r="T19" i="100"/>
  <c r="S19" i="100"/>
  <c r="N19" i="100"/>
  <c r="O19" i="100" s="1"/>
  <c r="J19" i="100"/>
  <c r="AB18" i="100"/>
  <c r="AA18" i="100"/>
  <c r="Z18" i="100"/>
  <c r="Y18" i="100"/>
  <c r="X18" i="100"/>
  <c r="T18" i="100"/>
  <c r="AD17" i="100"/>
  <c r="AC17" i="100"/>
  <c r="AB17" i="100"/>
  <c r="AA17" i="100"/>
  <c r="Z17" i="100"/>
  <c r="Y17" i="100"/>
  <c r="X17" i="100"/>
  <c r="W17" i="100"/>
  <c r="V17" i="100"/>
  <c r="U17" i="100"/>
  <c r="T17" i="100"/>
  <c r="S17" i="100"/>
  <c r="AD16" i="100"/>
  <c r="AC16" i="100"/>
  <c r="AB16" i="100"/>
  <c r="AA16" i="100"/>
  <c r="Z16" i="100"/>
  <c r="W16" i="100"/>
  <c r="V16" i="100"/>
  <c r="U16" i="100"/>
  <c r="T16" i="100"/>
  <c r="S16" i="100"/>
  <c r="C15" i="100"/>
  <c r="D20" i="100" s="1"/>
  <c r="C14" i="100"/>
  <c r="D37" i="100" s="1"/>
  <c r="N37" i="100" s="1"/>
  <c r="D10" i="100"/>
  <c r="B10" i="100"/>
  <c r="C10" i="100" s="1"/>
  <c r="C9" i="100"/>
  <c r="C8" i="100"/>
  <c r="A5" i="100"/>
  <c r="P51" i="143"/>
  <c r="I51" i="143"/>
  <c r="J51" i="143" s="1"/>
  <c r="N51" i="143" s="1"/>
  <c r="O51" i="143" s="1"/>
  <c r="P50" i="143"/>
  <c r="I50" i="143"/>
  <c r="J50" i="143" s="1"/>
  <c r="P49" i="143"/>
  <c r="I49" i="143"/>
  <c r="J49" i="143" s="1"/>
  <c r="N49" i="143" s="1"/>
  <c r="O49" i="143" s="1"/>
  <c r="P48" i="143"/>
  <c r="I48" i="143"/>
  <c r="J48" i="143" s="1"/>
  <c r="P47" i="143"/>
  <c r="G47" i="143"/>
  <c r="J47" i="143" s="1"/>
  <c r="D47" i="143"/>
  <c r="P46" i="143"/>
  <c r="I46" i="143"/>
  <c r="N46" i="143" s="1"/>
  <c r="O46" i="143" s="1"/>
  <c r="P45" i="143"/>
  <c r="I45" i="143"/>
  <c r="J45" i="143" s="1"/>
  <c r="P44" i="143"/>
  <c r="I44" i="143"/>
  <c r="J44" i="143" s="1"/>
  <c r="P43" i="143"/>
  <c r="J43" i="143"/>
  <c r="P42" i="143"/>
  <c r="I42" i="143"/>
  <c r="N42" i="143" s="1"/>
  <c r="O42" i="143" s="1"/>
  <c r="P41" i="143"/>
  <c r="I41" i="143"/>
  <c r="J41" i="143" s="1"/>
  <c r="P40" i="143"/>
  <c r="I40" i="143"/>
  <c r="J40" i="143" s="1"/>
  <c r="P39" i="143"/>
  <c r="I39" i="143"/>
  <c r="J39" i="143" s="1"/>
  <c r="P37" i="143"/>
  <c r="H37" i="143"/>
  <c r="J37" i="143" s="1"/>
  <c r="P36" i="143"/>
  <c r="P35" i="143"/>
  <c r="G35" i="143"/>
  <c r="D35" i="143"/>
  <c r="P34" i="143"/>
  <c r="P33" i="143"/>
  <c r="P32" i="143"/>
  <c r="D32" i="143"/>
  <c r="P31" i="143"/>
  <c r="D31" i="143"/>
  <c r="P30" i="143"/>
  <c r="I30" i="143"/>
  <c r="J30" i="143" s="1"/>
  <c r="P29" i="143"/>
  <c r="I29" i="143"/>
  <c r="J29" i="143" s="1"/>
  <c r="P28" i="143"/>
  <c r="I28" i="143"/>
  <c r="J28" i="143" s="1"/>
  <c r="P27" i="143"/>
  <c r="I27" i="143"/>
  <c r="J27" i="143" s="1"/>
  <c r="P26" i="143"/>
  <c r="I26" i="143"/>
  <c r="J26" i="143" s="1"/>
  <c r="P25" i="143"/>
  <c r="I25" i="143"/>
  <c r="J25" i="143" s="1"/>
  <c r="P24" i="143"/>
  <c r="I24" i="143"/>
  <c r="J24" i="143" s="1"/>
  <c r="J19" i="143"/>
  <c r="AD18" i="143"/>
  <c r="AC18" i="143"/>
  <c r="AB18" i="143"/>
  <c r="Z18" i="143"/>
  <c r="X18" i="143"/>
  <c r="W18" i="143"/>
  <c r="V18" i="143"/>
  <c r="U18" i="143"/>
  <c r="T18" i="143"/>
  <c r="S18" i="143"/>
  <c r="N18" i="143"/>
  <c r="O18" i="143" s="1"/>
  <c r="J18" i="143"/>
  <c r="AA17" i="143"/>
  <c r="Z17" i="143"/>
  <c r="Y17" i="143"/>
  <c r="X17" i="143"/>
  <c r="W17" i="143"/>
  <c r="S17" i="143"/>
  <c r="AD16" i="143"/>
  <c r="AC16" i="143"/>
  <c r="AB16" i="143"/>
  <c r="AA16" i="143"/>
  <c r="Z16" i="143"/>
  <c r="Y16" i="143"/>
  <c r="X16" i="143"/>
  <c r="W16" i="143"/>
  <c r="V16" i="143"/>
  <c r="U16" i="143"/>
  <c r="T16" i="143"/>
  <c r="S16" i="143"/>
  <c r="AD15" i="143"/>
  <c r="AC15" i="143"/>
  <c r="AB15" i="143"/>
  <c r="W15" i="143"/>
  <c r="V15" i="143"/>
  <c r="U15" i="143"/>
  <c r="T15" i="143"/>
  <c r="S15" i="143"/>
  <c r="D48" i="143"/>
  <c r="D10" i="143"/>
  <c r="B10" i="143"/>
  <c r="C9" i="143"/>
  <c r="C8" i="143"/>
  <c r="A5" i="143"/>
  <c r="P56" i="34"/>
  <c r="I56" i="34"/>
  <c r="J56" i="34" s="1"/>
  <c r="N56" i="34" s="1"/>
  <c r="O56" i="34" s="1"/>
  <c r="P55" i="34"/>
  <c r="I55" i="34"/>
  <c r="J55" i="34" s="1"/>
  <c r="P54" i="34"/>
  <c r="I54" i="34"/>
  <c r="J54" i="34" s="1"/>
  <c r="N54" i="34" s="1"/>
  <c r="O54" i="34" s="1"/>
  <c r="P53" i="34"/>
  <c r="I53" i="34"/>
  <c r="J53" i="34" s="1"/>
  <c r="P52" i="34"/>
  <c r="G52" i="34"/>
  <c r="D52" i="34"/>
  <c r="P51" i="34"/>
  <c r="I51" i="34"/>
  <c r="J51" i="34" s="1"/>
  <c r="P50" i="34"/>
  <c r="I50" i="34"/>
  <c r="N50" i="34" s="1"/>
  <c r="O50" i="34" s="1"/>
  <c r="P49" i="34"/>
  <c r="I49" i="34"/>
  <c r="J49" i="34" s="1"/>
  <c r="P48" i="34"/>
  <c r="J48" i="34"/>
  <c r="P47" i="34"/>
  <c r="I47" i="34"/>
  <c r="N47" i="34" s="1"/>
  <c r="O47" i="34" s="1"/>
  <c r="P46" i="34"/>
  <c r="I46" i="34"/>
  <c r="J46" i="34" s="1"/>
  <c r="P45" i="34"/>
  <c r="I45" i="34"/>
  <c r="J45" i="34" s="1"/>
  <c r="P44" i="34"/>
  <c r="I44" i="34"/>
  <c r="J44" i="34" s="1"/>
  <c r="P42" i="34"/>
  <c r="H42" i="34"/>
  <c r="J42" i="34" s="1"/>
  <c r="P41" i="34"/>
  <c r="P40" i="34"/>
  <c r="G40" i="34"/>
  <c r="J40" i="34" s="1"/>
  <c r="D40" i="34"/>
  <c r="P39" i="34"/>
  <c r="G39" i="34"/>
  <c r="J39" i="34" s="1"/>
  <c r="D39" i="34"/>
  <c r="P38" i="34"/>
  <c r="G38" i="34"/>
  <c r="J38" i="34" s="1"/>
  <c r="D38" i="34"/>
  <c r="P37" i="34"/>
  <c r="I37" i="34"/>
  <c r="J37" i="34" s="1"/>
  <c r="P36" i="34"/>
  <c r="I36" i="34"/>
  <c r="J36" i="34" s="1"/>
  <c r="P35" i="34"/>
  <c r="I35" i="34"/>
  <c r="J35" i="34" s="1"/>
  <c r="P34" i="34"/>
  <c r="I34" i="34"/>
  <c r="J34" i="34" s="1"/>
  <c r="P33" i="34"/>
  <c r="I33" i="34"/>
  <c r="J33" i="34" s="1"/>
  <c r="P32" i="34"/>
  <c r="I32" i="34"/>
  <c r="J32" i="34" s="1"/>
  <c r="P31" i="34"/>
  <c r="I31" i="34"/>
  <c r="J31" i="34" s="1"/>
  <c r="J26" i="34"/>
  <c r="N25" i="34"/>
  <c r="O25" i="34" s="1"/>
  <c r="J25" i="34"/>
  <c r="D17" i="34"/>
  <c r="D43" i="34" s="1"/>
  <c r="N43" i="34" s="1"/>
  <c r="D11" i="34"/>
  <c r="B11" i="34"/>
  <c r="C11" i="34" s="1"/>
  <c r="C10" i="34"/>
  <c r="C9" i="34"/>
  <c r="A6" i="34"/>
  <c r="A4" i="34"/>
  <c r="D30" i="1"/>
  <c r="D31" i="1" s="1"/>
  <c r="E19" i="1"/>
  <c r="D41" i="131" l="1"/>
  <c r="N41" i="131" s="1"/>
  <c r="O41" i="131" s="1"/>
  <c r="D29" i="132"/>
  <c r="D35" i="132"/>
  <c r="N35" i="132" s="1"/>
  <c r="O35" i="132" s="1"/>
  <c r="D37" i="126"/>
  <c r="O38" i="126"/>
  <c r="D30" i="100"/>
  <c r="N30" i="100" s="1"/>
  <c r="O30" i="100" s="1"/>
  <c r="O37" i="100"/>
  <c r="D35" i="140"/>
  <c r="N35" i="140" s="1"/>
  <c r="O35" i="140" s="1"/>
  <c r="O44" i="140"/>
  <c r="D36" i="127"/>
  <c r="O44" i="127"/>
  <c r="D33" i="34"/>
  <c r="N33" i="34" s="1"/>
  <c r="O33" i="34" s="1"/>
  <c r="O43" i="34"/>
  <c r="I36" i="143"/>
  <c r="J36" i="143" s="1"/>
  <c r="N36" i="143" s="1"/>
  <c r="O36" i="143" s="1"/>
  <c r="I42" i="127"/>
  <c r="J42" i="127" s="1"/>
  <c r="N42" i="127" s="1"/>
  <c r="O42" i="127" s="1"/>
  <c r="I41" i="34"/>
  <c r="J41" i="34" s="1"/>
  <c r="N41" i="34" s="1"/>
  <c r="O41" i="34" s="1"/>
  <c r="I36" i="126"/>
  <c r="J36" i="126" s="1"/>
  <c r="N36" i="126" s="1"/>
  <c r="O36" i="126" s="1"/>
  <c r="L39" i="130"/>
  <c r="O39" i="130" s="1"/>
  <c r="I42" i="140"/>
  <c r="J42" i="140" s="1"/>
  <c r="N42" i="140" s="1"/>
  <c r="O42" i="140" s="1"/>
  <c r="I33" i="132"/>
  <c r="J33" i="132" s="1"/>
  <c r="N33" i="132" s="1"/>
  <c r="O33" i="132" s="1"/>
  <c r="L36" i="147"/>
  <c r="O36" i="147" s="1"/>
  <c r="J48" i="147"/>
  <c r="J47" i="147"/>
  <c r="L40" i="127"/>
  <c r="O40" i="127" s="1"/>
  <c r="J47" i="37"/>
  <c r="I38" i="153"/>
  <c r="J38" i="153" s="1"/>
  <c r="N38" i="153" s="1"/>
  <c r="I38" i="155"/>
  <c r="J38" i="155" s="1"/>
  <c r="N38" i="155" s="1"/>
  <c r="I38" i="154"/>
  <c r="J38" i="154" s="1"/>
  <c r="N38" i="154" s="1"/>
  <c r="J48" i="138"/>
  <c r="J44" i="133"/>
  <c r="N47" i="131"/>
  <c r="O47" i="131" s="1"/>
  <c r="O42" i="156"/>
  <c r="O59" i="156" s="1"/>
  <c r="O61" i="156" s="1"/>
  <c r="N59" i="156"/>
  <c r="N61" i="156" s="1"/>
  <c r="N54" i="145"/>
  <c r="O54" i="145" s="1"/>
  <c r="J53" i="130"/>
  <c r="N50" i="145"/>
  <c r="O50" i="145" s="1"/>
  <c r="J45" i="100"/>
  <c r="J52" i="127"/>
  <c r="L47" i="126"/>
  <c r="O47" i="126" s="1"/>
  <c r="N46" i="37"/>
  <c r="O46" i="37" s="1"/>
  <c r="N54" i="130"/>
  <c r="O54" i="130" s="1"/>
  <c r="I39" i="136"/>
  <c r="J39" i="136" s="1"/>
  <c r="N39" i="136" s="1"/>
  <c r="O39" i="136" s="1"/>
  <c r="I38" i="151"/>
  <c r="J38" i="151" s="1"/>
  <c r="N38" i="151" s="1"/>
  <c r="I38" i="152"/>
  <c r="J38" i="152" s="1"/>
  <c r="N38" i="152" s="1"/>
  <c r="I38" i="150"/>
  <c r="J38" i="150" s="1"/>
  <c r="N38" i="150" s="1"/>
  <c r="M39" i="148"/>
  <c r="M56" i="148" s="1"/>
  <c r="M58" i="148" s="1"/>
  <c r="I39" i="131"/>
  <c r="J39" i="131" s="1"/>
  <c r="N39" i="131" s="1"/>
  <c r="O39" i="131" s="1"/>
  <c r="I42" i="149"/>
  <c r="J42" i="149" s="1"/>
  <c r="N42" i="149" s="1"/>
  <c r="J45" i="126"/>
  <c r="L36" i="128"/>
  <c r="O36" i="128" s="1"/>
  <c r="J48" i="128"/>
  <c r="L55" i="130"/>
  <c r="O55" i="130" s="1"/>
  <c r="J48" i="139"/>
  <c r="J44" i="148"/>
  <c r="N47" i="148"/>
  <c r="O47" i="148" s="1"/>
  <c r="J47" i="128"/>
  <c r="N54" i="129"/>
  <c r="O54" i="129" s="1"/>
  <c r="N45" i="143"/>
  <c r="O45" i="143" s="1"/>
  <c r="J44" i="100"/>
  <c r="N51" i="141"/>
  <c r="O51" i="141" s="1"/>
  <c r="I38" i="147"/>
  <c r="J38" i="147" s="1"/>
  <c r="D34" i="148"/>
  <c r="I38" i="148"/>
  <c r="J38" i="148" s="1"/>
  <c r="I35" i="100"/>
  <c r="J35" i="100" s="1"/>
  <c r="N35" i="100" s="1"/>
  <c r="O35" i="100" s="1"/>
  <c r="J42" i="143"/>
  <c r="L35" i="147"/>
  <c r="O35" i="147" s="1"/>
  <c r="D27" i="148"/>
  <c r="N27" i="148" s="1"/>
  <c r="O27" i="148" s="1"/>
  <c r="D50" i="148"/>
  <c r="N50" i="148" s="1"/>
  <c r="O50" i="148" s="1"/>
  <c r="D53" i="148"/>
  <c r="N53" i="148" s="1"/>
  <c r="O53" i="148" s="1"/>
  <c r="D31" i="148"/>
  <c r="N31" i="148" s="1"/>
  <c r="O31" i="148" s="1"/>
  <c r="D34" i="147"/>
  <c r="L34" i="147" s="1"/>
  <c r="O34" i="147" s="1"/>
  <c r="D37" i="147"/>
  <c r="L37" i="147" s="1"/>
  <c r="O37" i="147" s="1"/>
  <c r="O34" i="148"/>
  <c r="D29" i="148"/>
  <c r="N29" i="148" s="1"/>
  <c r="O29" i="148" s="1"/>
  <c r="D37" i="148"/>
  <c r="O37" i="148" s="1"/>
  <c r="D28" i="148"/>
  <c r="N28" i="148" s="1"/>
  <c r="O28" i="148" s="1"/>
  <c r="D32" i="148"/>
  <c r="N32" i="148" s="1"/>
  <c r="O32" i="148" s="1"/>
  <c r="D40" i="148"/>
  <c r="N40" i="148" s="1"/>
  <c r="O40" i="148" s="1"/>
  <c r="D49" i="148"/>
  <c r="O49" i="148" s="1"/>
  <c r="D52" i="148"/>
  <c r="N52" i="148" s="1"/>
  <c r="O52" i="148" s="1"/>
  <c r="D35" i="148"/>
  <c r="O35" i="148" s="1"/>
  <c r="D45" i="148"/>
  <c r="O45" i="148" s="1"/>
  <c r="J48" i="148"/>
  <c r="D51" i="148"/>
  <c r="N51" i="148" s="1"/>
  <c r="O51" i="148" s="1"/>
  <c r="D22" i="148"/>
  <c r="N22" i="148" s="1"/>
  <c r="D30" i="148"/>
  <c r="N30" i="148" s="1"/>
  <c r="O30" i="148" s="1"/>
  <c r="D38" i="148"/>
  <c r="J44" i="147"/>
  <c r="D49" i="147"/>
  <c r="L49" i="147" s="1"/>
  <c r="O49" i="147" s="1"/>
  <c r="D53" i="147"/>
  <c r="N53" i="147" s="1"/>
  <c r="O53" i="147" s="1"/>
  <c r="D29" i="147"/>
  <c r="N29" i="147" s="1"/>
  <c r="O29" i="147" s="1"/>
  <c r="D28" i="147"/>
  <c r="N28" i="147" s="1"/>
  <c r="O28" i="147" s="1"/>
  <c r="D32" i="147"/>
  <c r="N32" i="147" s="1"/>
  <c r="O32" i="147" s="1"/>
  <c r="D40" i="147"/>
  <c r="N40" i="147" s="1"/>
  <c r="O40" i="147" s="1"/>
  <c r="D52" i="147"/>
  <c r="N52" i="147" s="1"/>
  <c r="O52" i="147" s="1"/>
  <c r="D27" i="147"/>
  <c r="N27" i="147" s="1"/>
  <c r="D31" i="147"/>
  <c r="N31" i="147" s="1"/>
  <c r="O31" i="147" s="1"/>
  <c r="D39" i="147"/>
  <c r="M39" i="147" s="1"/>
  <c r="D45" i="147"/>
  <c r="O45" i="147" s="1"/>
  <c r="D51" i="147"/>
  <c r="N51" i="147" s="1"/>
  <c r="O51" i="147" s="1"/>
  <c r="D22" i="147"/>
  <c r="N22" i="147" s="1"/>
  <c r="O22" i="147" s="1"/>
  <c r="O23" i="147" s="1"/>
  <c r="D30" i="147"/>
  <c r="N30" i="147" s="1"/>
  <c r="O30" i="147" s="1"/>
  <c r="D38" i="147"/>
  <c r="D50" i="147"/>
  <c r="N50" i="147" s="1"/>
  <c r="O50" i="147" s="1"/>
  <c r="I43" i="145"/>
  <c r="J43" i="145" s="1"/>
  <c r="I37" i="37"/>
  <c r="J37" i="37" s="1"/>
  <c r="I38" i="128"/>
  <c r="J38" i="128" s="1"/>
  <c r="I38" i="138"/>
  <c r="J38" i="138" s="1"/>
  <c r="I43" i="129"/>
  <c r="J43" i="129" s="1"/>
  <c r="I35" i="119"/>
  <c r="J35" i="119" s="1"/>
  <c r="J46" i="143"/>
  <c r="N51" i="34"/>
  <c r="O51" i="34" s="1"/>
  <c r="N56" i="127"/>
  <c r="O56" i="127" s="1"/>
  <c r="L33" i="126"/>
  <c r="O33" i="126" s="1"/>
  <c r="J48" i="140"/>
  <c r="J52" i="140"/>
  <c r="J47" i="139"/>
  <c r="J48" i="131"/>
  <c r="U16" i="132"/>
  <c r="AD16" i="132"/>
  <c r="I35" i="133"/>
  <c r="J35" i="133" s="1"/>
  <c r="N35" i="133" s="1"/>
  <c r="O35" i="133" s="1"/>
  <c r="J43" i="133"/>
  <c r="T12" i="142"/>
  <c r="X12" i="142"/>
  <c r="J50" i="142"/>
  <c r="L47" i="143"/>
  <c r="O47" i="143" s="1"/>
  <c r="J51" i="140"/>
  <c r="J45" i="119"/>
  <c r="L49" i="138"/>
  <c r="O49" i="138" s="1"/>
  <c r="AC12" i="139"/>
  <c r="N51" i="139"/>
  <c r="O51" i="139" s="1"/>
  <c r="G35" i="139"/>
  <c r="J35" i="139" s="1"/>
  <c r="I38" i="139"/>
  <c r="J38" i="139" s="1"/>
  <c r="V12" i="129"/>
  <c r="AC12" i="129"/>
  <c r="H44" i="129"/>
  <c r="J44" i="129" s="1"/>
  <c r="J50" i="129"/>
  <c r="J45" i="131"/>
  <c r="V16" i="132"/>
  <c r="J41" i="132"/>
  <c r="N42" i="132"/>
  <c r="O42" i="132" s="1"/>
  <c r="U12" i="142"/>
  <c r="AB12" i="142"/>
  <c r="N49" i="142"/>
  <c r="O49" i="142" s="1"/>
  <c r="T12" i="136"/>
  <c r="X12" i="136"/>
  <c r="AB12" i="136"/>
  <c r="G33" i="143"/>
  <c r="J33" i="143" s="1"/>
  <c r="L36" i="37"/>
  <c r="O36" i="37" s="1"/>
  <c r="N51" i="138"/>
  <c r="O51" i="138" s="1"/>
  <c r="L56" i="129"/>
  <c r="O56" i="129" s="1"/>
  <c r="S16" i="132"/>
  <c r="W16" i="132"/>
  <c r="V12" i="142"/>
  <c r="U12" i="136"/>
  <c r="Y12" i="136"/>
  <c r="I15" i="142"/>
  <c r="L37" i="138"/>
  <c r="O37" i="138" s="1"/>
  <c r="J41" i="133"/>
  <c r="J47" i="34"/>
  <c r="N42" i="126"/>
  <c r="O42" i="126" s="1"/>
  <c r="I42" i="130"/>
  <c r="J42" i="130" s="1"/>
  <c r="I40" i="141"/>
  <c r="J40" i="141" s="1"/>
  <c r="I40" i="142"/>
  <c r="J40" i="142" s="1"/>
  <c r="L40" i="34"/>
  <c r="O40" i="34" s="1"/>
  <c r="L34" i="100"/>
  <c r="O34" i="100" s="1"/>
  <c r="C10" i="143"/>
  <c r="L33" i="119"/>
  <c r="O33" i="119" s="1"/>
  <c r="L46" i="100"/>
  <c r="O46" i="100" s="1"/>
  <c r="I15" i="141"/>
  <c r="L52" i="34"/>
  <c r="O52" i="34" s="1"/>
  <c r="I15" i="130"/>
  <c r="I15" i="145"/>
  <c r="L35" i="143"/>
  <c r="O35" i="143" s="1"/>
  <c r="I15" i="136"/>
  <c r="D34" i="143"/>
  <c r="D25" i="126"/>
  <c r="N25" i="126" s="1"/>
  <c r="O25" i="126" s="1"/>
  <c r="L34" i="126"/>
  <c r="O34" i="126" s="1"/>
  <c r="D34" i="145"/>
  <c r="D51" i="145" s="1"/>
  <c r="D43" i="145"/>
  <c r="D36" i="141"/>
  <c r="N36" i="141" s="1"/>
  <c r="O36" i="141" s="1"/>
  <c r="D44" i="145"/>
  <c r="M44" i="145" s="1"/>
  <c r="O44" i="145" s="1"/>
  <c r="AB12" i="138"/>
  <c r="V12" i="141"/>
  <c r="V13" i="128"/>
  <c r="V13" i="133"/>
  <c r="S13" i="119"/>
  <c r="AB13" i="37"/>
  <c r="W13" i="128"/>
  <c r="T13" i="119"/>
  <c r="W13" i="133"/>
  <c r="S13" i="37"/>
  <c r="AC13" i="37"/>
  <c r="U13" i="119"/>
  <c r="T13" i="37"/>
  <c r="AD13" i="37"/>
  <c r="AB13" i="128"/>
  <c r="V13" i="119"/>
  <c r="AC19" i="132"/>
  <c r="Y12" i="142"/>
  <c r="X12" i="139"/>
  <c r="Y12" i="139"/>
  <c r="Z12" i="142"/>
  <c r="Z12" i="139"/>
  <c r="X12" i="129"/>
  <c r="AA12" i="142"/>
  <c r="L40" i="129"/>
  <c r="O40" i="129" s="1"/>
  <c r="AA12" i="139"/>
  <c r="Y12" i="129"/>
  <c r="Z12" i="129"/>
  <c r="X12" i="138"/>
  <c r="Y12" i="138"/>
  <c r="Z12" i="138"/>
  <c r="X12" i="141"/>
  <c r="G35" i="138"/>
  <c r="G40" i="145"/>
  <c r="J40" i="145" s="1"/>
  <c r="G32" i="126"/>
  <c r="J32" i="126" s="1"/>
  <c r="G34" i="37"/>
  <c r="J34" i="37" s="1"/>
  <c r="X13" i="119"/>
  <c r="Y13" i="133"/>
  <c r="X13" i="128"/>
  <c r="Y13" i="119"/>
  <c r="Z13" i="133"/>
  <c r="X13" i="37"/>
  <c r="Y13" i="128"/>
  <c r="Z13" i="119"/>
  <c r="L31" i="119"/>
  <c r="O31" i="119" s="1"/>
  <c r="AA13" i="133"/>
  <c r="Y13" i="37"/>
  <c r="Z13" i="128"/>
  <c r="AA13" i="119"/>
  <c r="AA18" i="143"/>
  <c r="Z19" i="100"/>
  <c r="Z15" i="126"/>
  <c r="X19" i="132"/>
  <c r="G39" i="140"/>
  <c r="J39" i="140" s="1"/>
  <c r="Y19" i="132"/>
  <c r="Z19" i="132"/>
  <c r="X15" i="127"/>
  <c r="G38" i="127"/>
  <c r="J38" i="127" s="1"/>
  <c r="AA19" i="132"/>
  <c r="Y15" i="127"/>
  <c r="Y18" i="143"/>
  <c r="G31" i="143" s="1"/>
  <c r="J31" i="143" s="1"/>
  <c r="X19" i="100"/>
  <c r="AA15" i="127"/>
  <c r="J49" i="130"/>
  <c r="N41" i="119"/>
  <c r="O41" i="119" s="1"/>
  <c r="J43" i="138"/>
  <c r="N47" i="142"/>
  <c r="O47" i="142" s="1"/>
  <c r="N43" i="139"/>
  <c r="O43" i="139" s="1"/>
  <c r="J43" i="37"/>
  <c r="N39" i="132"/>
  <c r="O39" i="132" s="1"/>
  <c r="J41" i="100"/>
  <c r="J33" i="119"/>
  <c r="L32" i="119"/>
  <c r="O32" i="119" s="1"/>
  <c r="L41" i="145"/>
  <c r="O41" i="145" s="1"/>
  <c r="L39" i="127"/>
  <c r="O39" i="127" s="1"/>
  <c r="J33" i="126"/>
  <c r="J34" i="126"/>
  <c r="S18" i="100"/>
  <c r="U18" i="100"/>
  <c r="AB17" i="143"/>
  <c r="AC18" i="100"/>
  <c r="U17" i="143"/>
  <c r="AC17" i="143"/>
  <c r="G34" i="143" s="1"/>
  <c r="J34" i="143" s="1"/>
  <c r="V18" i="100"/>
  <c r="AD18" i="100"/>
  <c r="S18" i="132"/>
  <c r="T17" i="143"/>
  <c r="V17" i="143"/>
  <c r="AD17" i="143"/>
  <c r="W18" i="100"/>
  <c r="T18" i="132"/>
  <c r="AB18" i="132"/>
  <c r="AC18" i="132"/>
  <c r="V18" i="132"/>
  <c r="S17" i="132"/>
  <c r="T17" i="132"/>
  <c r="AB17" i="132"/>
  <c r="U17" i="132"/>
  <c r="AC17" i="132"/>
  <c r="V17" i="132"/>
  <c r="X15" i="143"/>
  <c r="AA16" i="132"/>
  <c r="Y15" i="143"/>
  <c r="Z15" i="143"/>
  <c r="X16" i="100"/>
  <c r="AA15" i="143"/>
  <c r="L39" i="34"/>
  <c r="O39" i="34" s="1"/>
  <c r="L40" i="140"/>
  <c r="O40" i="140" s="1"/>
  <c r="L33" i="100"/>
  <c r="O33" i="100" s="1"/>
  <c r="C20" i="142"/>
  <c r="C18" i="142" s="1"/>
  <c r="D18" i="142" s="1"/>
  <c r="C20" i="141"/>
  <c r="C18" i="141" s="1"/>
  <c r="D18" i="141" s="1"/>
  <c r="C20" i="145"/>
  <c r="C20" i="129"/>
  <c r="C18" i="129" s="1"/>
  <c r="D18" i="129" s="1"/>
  <c r="C17" i="139"/>
  <c r="D14" i="139" s="1"/>
  <c r="C19" i="136"/>
  <c r="D16" i="136" s="1"/>
  <c r="D49" i="37"/>
  <c r="N49" i="37" s="1"/>
  <c r="O49" i="37" s="1"/>
  <c r="D39" i="37"/>
  <c r="N39" i="37" s="1"/>
  <c r="O39" i="37" s="1"/>
  <c r="L35" i="37"/>
  <c r="O35" i="37" s="1"/>
  <c r="D37" i="37"/>
  <c r="D37" i="128"/>
  <c r="L37" i="128" s="1"/>
  <c r="O37" i="128" s="1"/>
  <c r="L34" i="119"/>
  <c r="O34" i="119" s="1"/>
  <c r="I15" i="138"/>
  <c r="H34" i="132"/>
  <c r="J34" i="132" s="1"/>
  <c r="H40" i="131"/>
  <c r="J40" i="131" s="1"/>
  <c r="J50" i="34"/>
  <c r="N36" i="127"/>
  <c r="O36" i="127" s="1"/>
  <c r="J48" i="127"/>
  <c r="M37" i="126"/>
  <c r="M53" i="126" s="1"/>
  <c r="M55" i="126" s="1"/>
  <c r="D27" i="126"/>
  <c r="N27" i="126" s="1"/>
  <c r="O27" i="126" s="1"/>
  <c r="L53" i="140"/>
  <c r="O53" i="140" s="1"/>
  <c r="D31" i="37"/>
  <c r="N31" i="37" s="1"/>
  <c r="O31" i="37" s="1"/>
  <c r="D35" i="128"/>
  <c r="L35" i="128" s="1"/>
  <c r="O35" i="128" s="1"/>
  <c r="C17" i="138"/>
  <c r="D14" i="138" s="1"/>
  <c r="N47" i="138"/>
  <c r="O47" i="138" s="1"/>
  <c r="I15" i="129"/>
  <c r="L38" i="34"/>
  <c r="O38" i="34" s="1"/>
  <c r="L32" i="100"/>
  <c r="O32" i="100" s="1"/>
  <c r="D44" i="129"/>
  <c r="D57" i="129"/>
  <c r="N57" i="129" s="1"/>
  <c r="O57" i="129" s="1"/>
  <c r="D43" i="129"/>
  <c r="N48" i="136"/>
  <c r="O48" i="136" s="1"/>
  <c r="J48" i="136"/>
  <c r="N55" i="145"/>
  <c r="O55" i="145" s="1"/>
  <c r="J55" i="145"/>
  <c r="J51" i="127"/>
  <c r="J46" i="126"/>
  <c r="N51" i="119"/>
  <c r="O51" i="119" s="1"/>
  <c r="N50" i="141"/>
  <c r="O50" i="141" s="1"/>
  <c r="J50" i="141"/>
  <c r="J52" i="34"/>
  <c r="J35" i="143"/>
  <c r="D25" i="100"/>
  <c r="N25" i="100" s="1"/>
  <c r="O25" i="100" s="1"/>
  <c r="D35" i="127"/>
  <c r="N35" i="127" s="1"/>
  <c r="O35" i="127" s="1"/>
  <c r="L41" i="127"/>
  <c r="O41" i="127" s="1"/>
  <c r="L53" i="127"/>
  <c r="O53" i="127" s="1"/>
  <c r="D48" i="126"/>
  <c r="N48" i="126" s="1"/>
  <c r="O48" i="126" s="1"/>
  <c r="D27" i="37"/>
  <c r="N27" i="37" s="1"/>
  <c r="O27" i="37" s="1"/>
  <c r="D52" i="37"/>
  <c r="N52" i="37" s="1"/>
  <c r="O52" i="37" s="1"/>
  <c r="N44" i="128"/>
  <c r="O44" i="128" s="1"/>
  <c r="I15" i="139"/>
  <c r="N48" i="143"/>
  <c r="O48" i="143" s="1"/>
  <c r="D34" i="128"/>
  <c r="L34" i="128" s="1"/>
  <c r="O34" i="128" s="1"/>
  <c r="C19" i="130"/>
  <c r="D17" i="130" s="1"/>
  <c r="D38" i="138"/>
  <c r="D50" i="138"/>
  <c r="N50" i="138" s="1"/>
  <c r="O50" i="138" s="1"/>
  <c r="D32" i="138"/>
  <c r="N32" i="138" s="1"/>
  <c r="O32" i="138" s="1"/>
  <c r="N55" i="129"/>
  <c r="O55" i="129" s="1"/>
  <c r="J55" i="129"/>
  <c r="D26" i="119"/>
  <c r="D43" i="119" s="1"/>
  <c r="O43" i="119" s="1"/>
  <c r="D28" i="119"/>
  <c r="N28" i="119" s="1"/>
  <c r="O28" i="119" s="1"/>
  <c r="J45" i="145"/>
  <c r="D32" i="131"/>
  <c r="N32" i="131" s="1"/>
  <c r="O32" i="131" s="1"/>
  <c r="D31" i="131"/>
  <c r="N31" i="131" s="1"/>
  <c r="O31" i="131" s="1"/>
  <c r="D40" i="131"/>
  <c r="D51" i="131"/>
  <c r="N51" i="131" s="1"/>
  <c r="O51" i="131" s="1"/>
  <c r="D35" i="131"/>
  <c r="N35" i="131" s="1"/>
  <c r="O35" i="131" s="1"/>
  <c r="D49" i="131"/>
  <c r="N49" i="131" s="1"/>
  <c r="O49" i="131" s="1"/>
  <c r="N29" i="132"/>
  <c r="O29" i="132" s="1"/>
  <c r="L48" i="37"/>
  <c r="O48" i="37" s="1"/>
  <c r="N51" i="128"/>
  <c r="O51" i="128" s="1"/>
  <c r="D30" i="128"/>
  <c r="N30" i="128" s="1"/>
  <c r="O30" i="128" s="1"/>
  <c r="N53" i="142"/>
  <c r="O53" i="142" s="1"/>
  <c r="D40" i="141"/>
  <c r="D58" i="145"/>
  <c r="N58" i="145" s="1"/>
  <c r="O58" i="145" s="1"/>
  <c r="L41" i="129"/>
  <c r="O41" i="129" s="1"/>
  <c r="L40" i="130"/>
  <c r="O40" i="130" s="1"/>
  <c r="J47" i="141"/>
  <c r="J49" i="141"/>
  <c r="J46" i="136"/>
  <c r="J49" i="136"/>
  <c r="D50" i="128"/>
  <c r="N50" i="128" s="1"/>
  <c r="O50" i="128" s="1"/>
  <c r="L47" i="119"/>
  <c r="O47" i="119" s="1"/>
  <c r="L36" i="138"/>
  <c r="O36" i="138" s="1"/>
  <c r="L36" i="139"/>
  <c r="O36" i="139" s="1"/>
  <c r="L49" i="139"/>
  <c r="O49" i="139" s="1"/>
  <c r="L56" i="145"/>
  <c r="O56" i="145" s="1"/>
  <c r="J44" i="136"/>
  <c r="L41" i="130"/>
  <c r="O41" i="130" s="1"/>
  <c r="J41" i="130"/>
  <c r="L41" i="140"/>
  <c r="O41" i="140" s="1"/>
  <c r="L42" i="145"/>
  <c r="O42" i="145" s="1"/>
  <c r="G42" i="129"/>
  <c r="J42" i="129" s="1"/>
  <c r="L35" i="126"/>
  <c r="O35" i="126" s="1"/>
  <c r="L37" i="139"/>
  <c r="O37" i="139" s="1"/>
  <c r="J41" i="136"/>
  <c r="J44" i="130"/>
  <c r="M43" i="130"/>
  <c r="O43" i="130" s="1"/>
  <c r="M36" i="119"/>
  <c r="O36" i="119" s="1"/>
  <c r="D28" i="132"/>
  <c r="N28" i="132" s="1"/>
  <c r="O28" i="132" s="1"/>
  <c r="D28" i="100"/>
  <c r="N28" i="100" s="1"/>
  <c r="O28" i="100" s="1"/>
  <c r="D43" i="126"/>
  <c r="O43" i="126" s="1"/>
  <c r="D49" i="140"/>
  <c r="O49" i="140" s="1"/>
  <c r="D28" i="128"/>
  <c r="N28" i="128" s="1"/>
  <c r="O28" i="128" s="1"/>
  <c r="D32" i="128"/>
  <c r="N32" i="128" s="1"/>
  <c r="O32" i="128" s="1"/>
  <c r="D40" i="138"/>
  <c r="N40" i="138" s="1"/>
  <c r="O40" i="138" s="1"/>
  <c r="D52" i="138"/>
  <c r="N52" i="138" s="1"/>
  <c r="O52" i="138" s="1"/>
  <c r="D45" i="133"/>
  <c r="N45" i="133" s="1"/>
  <c r="O45" i="133" s="1"/>
  <c r="D51" i="142"/>
  <c r="N51" i="142" s="1"/>
  <c r="O51" i="142" s="1"/>
  <c r="D36" i="136"/>
  <c r="N36" i="136" s="1"/>
  <c r="O36" i="136" s="1"/>
  <c r="O61" i="133"/>
  <c r="D19" i="143"/>
  <c r="N19" i="143" s="1"/>
  <c r="D49" i="100"/>
  <c r="N49" i="100" s="1"/>
  <c r="O49" i="100" s="1"/>
  <c r="D34" i="140"/>
  <c r="N34" i="140" s="1"/>
  <c r="O34" i="140" s="1"/>
  <c r="D22" i="128"/>
  <c r="N22" i="128" s="1"/>
  <c r="D38" i="128"/>
  <c r="D53" i="128"/>
  <c r="N53" i="128" s="1"/>
  <c r="O53" i="128" s="1"/>
  <c r="D20" i="119"/>
  <c r="N20" i="119" s="1"/>
  <c r="N21" i="119" s="1"/>
  <c r="D29" i="138"/>
  <c r="D30" i="138" s="1"/>
  <c r="D37" i="145"/>
  <c r="N37" i="145" s="1"/>
  <c r="O37" i="145" s="1"/>
  <c r="D42" i="130"/>
  <c r="D31" i="127"/>
  <c r="N31" i="127" s="1"/>
  <c r="O31" i="127" s="1"/>
  <c r="D26" i="143"/>
  <c r="N26" i="143" s="1"/>
  <c r="O26" i="143" s="1"/>
  <c r="D34" i="127"/>
  <c r="N34" i="127" s="1"/>
  <c r="O34" i="127" s="1"/>
  <c r="D43" i="127"/>
  <c r="M43" i="127" s="1"/>
  <c r="M59" i="127" s="1"/>
  <c r="M61" i="127" s="1"/>
  <c r="D45" i="140"/>
  <c r="N45" i="140" s="1"/>
  <c r="O45" i="140" s="1"/>
  <c r="D51" i="37"/>
  <c r="N51" i="37" s="1"/>
  <c r="O51" i="37" s="1"/>
  <c r="D49" i="128"/>
  <c r="L49" i="128" s="1"/>
  <c r="O49" i="128" s="1"/>
  <c r="D37" i="119"/>
  <c r="N37" i="119" s="1"/>
  <c r="O37" i="119" s="1"/>
  <c r="D59" i="145"/>
  <c r="N59" i="145" s="1"/>
  <c r="O59" i="145" s="1"/>
  <c r="D42" i="131"/>
  <c r="D40" i="136"/>
  <c r="M40" i="136" s="1"/>
  <c r="O65" i="136"/>
  <c r="D32" i="139"/>
  <c r="N32" i="139" s="1"/>
  <c r="O32" i="139" s="1"/>
  <c r="D24" i="143"/>
  <c r="N24" i="143" s="1"/>
  <c r="O24" i="143" s="1"/>
  <c r="D26" i="140"/>
  <c r="N26" i="140" s="1"/>
  <c r="O26" i="140" s="1"/>
  <c r="O28" i="140" s="1"/>
  <c r="D27" i="128"/>
  <c r="N27" i="128" s="1"/>
  <c r="O27" i="128" s="1"/>
  <c r="D31" i="128"/>
  <c r="N31" i="128" s="1"/>
  <c r="O31" i="128" s="1"/>
  <c r="D25" i="119"/>
  <c r="D48" i="119"/>
  <c r="N48" i="119" s="1"/>
  <c r="O48" i="119" s="1"/>
  <c r="D50" i="119"/>
  <c r="N50" i="119" s="1"/>
  <c r="O50" i="119" s="1"/>
  <c r="D50" i="139"/>
  <c r="N50" i="139" s="1"/>
  <c r="O50" i="139" s="1"/>
  <c r="D30" i="133"/>
  <c r="N30" i="133" s="1"/>
  <c r="O30" i="133" s="1"/>
  <c r="D48" i="133"/>
  <c r="N48" i="133" s="1"/>
  <c r="O48" i="133" s="1"/>
  <c r="D33" i="136"/>
  <c r="N33" i="136" s="1"/>
  <c r="O33" i="136" s="1"/>
  <c r="D35" i="136"/>
  <c r="D52" i="136"/>
  <c r="N52" i="136" s="1"/>
  <c r="O52" i="136" s="1"/>
  <c r="D43" i="142"/>
  <c r="N43" i="142" s="1"/>
  <c r="O43" i="142" s="1"/>
  <c r="D29" i="100"/>
  <c r="N29" i="100" s="1"/>
  <c r="O29" i="100" s="1"/>
  <c r="D42" i="100"/>
  <c r="O42" i="100" s="1"/>
  <c r="O64" i="140"/>
  <c r="D29" i="37"/>
  <c r="N29" i="37" s="1"/>
  <c r="O29" i="37" s="1"/>
  <c r="D57" i="145"/>
  <c r="N57" i="145" s="1"/>
  <c r="O57" i="145" s="1"/>
  <c r="D34" i="129"/>
  <c r="D51" i="129" s="1"/>
  <c r="O51" i="129" s="1"/>
  <c r="D36" i="129"/>
  <c r="N36" i="129" s="1"/>
  <c r="O36" i="129" s="1"/>
  <c r="N46" i="129"/>
  <c r="O46" i="129" s="1"/>
  <c r="D59" i="129"/>
  <c r="N59" i="129" s="1"/>
  <c r="O59" i="129" s="1"/>
  <c r="D46" i="133"/>
  <c r="N46" i="133" s="1"/>
  <c r="O46" i="133" s="1"/>
  <c r="O66" i="141"/>
  <c r="D52" i="142"/>
  <c r="N52" i="142" s="1"/>
  <c r="O52" i="142" s="1"/>
  <c r="D42" i="136"/>
  <c r="N42" i="136" s="1"/>
  <c r="O42" i="136" s="1"/>
  <c r="D50" i="136"/>
  <c r="N50" i="136" s="1"/>
  <c r="O50" i="136" s="1"/>
  <c r="D38" i="100"/>
  <c r="N38" i="100" s="1"/>
  <c r="O38" i="100" s="1"/>
  <c r="D26" i="127"/>
  <c r="N26" i="127" s="1"/>
  <c r="N27" i="127" s="1"/>
  <c r="D49" i="127"/>
  <c r="O49" i="127" s="1"/>
  <c r="O64" i="127"/>
  <c r="D29" i="126"/>
  <c r="N29" i="126" s="1"/>
  <c r="O29" i="126" s="1"/>
  <c r="D33" i="140"/>
  <c r="N33" i="140" s="1"/>
  <c r="O33" i="140" s="1"/>
  <c r="D37" i="140"/>
  <c r="N37" i="140" s="1"/>
  <c r="O37" i="140" s="1"/>
  <c r="D39" i="128"/>
  <c r="M39" i="128" s="1"/>
  <c r="O39" i="128" s="1"/>
  <c r="D29" i="139"/>
  <c r="N29" i="139" s="1"/>
  <c r="O29" i="139" s="1"/>
  <c r="D34" i="142"/>
  <c r="N34" i="142" s="1"/>
  <c r="O34" i="142" s="1"/>
  <c r="D48" i="34"/>
  <c r="O48" i="34" s="1"/>
  <c r="D44" i="34"/>
  <c r="N44" i="34" s="1"/>
  <c r="D53" i="34"/>
  <c r="N53" i="34" s="1"/>
  <c r="O53" i="34" s="1"/>
  <c r="D25" i="143"/>
  <c r="N25" i="143" s="1"/>
  <c r="O25" i="143" s="1"/>
  <c r="D43" i="143"/>
  <c r="O43" i="143" s="1"/>
  <c r="D32" i="34"/>
  <c r="N32" i="34" s="1"/>
  <c r="O32" i="34" s="1"/>
  <c r="D36" i="34"/>
  <c r="N36" i="34" s="1"/>
  <c r="O36" i="34" s="1"/>
  <c r="D31" i="34"/>
  <c r="N31" i="34" s="1"/>
  <c r="O31" i="34" s="1"/>
  <c r="D35" i="34"/>
  <c r="N35" i="34" s="1"/>
  <c r="O35" i="34" s="1"/>
  <c r="D42" i="34"/>
  <c r="M42" i="34" s="1"/>
  <c r="O63" i="34"/>
  <c r="D37" i="143"/>
  <c r="M37" i="143" s="1"/>
  <c r="D26" i="34"/>
  <c r="N26" i="34" s="1"/>
  <c r="D34" i="34"/>
  <c r="N34" i="34" s="1"/>
  <c r="O34" i="34" s="1"/>
  <c r="D55" i="34"/>
  <c r="N55" i="34" s="1"/>
  <c r="O55" i="34" s="1"/>
  <c r="D28" i="143"/>
  <c r="N28" i="143" s="1"/>
  <c r="O28" i="143" s="1"/>
  <c r="D50" i="143"/>
  <c r="N50" i="143" s="1"/>
  <c r="O50" i="143" s="1"/>
  <c r="D33" i="143"/>
  <c r="D29" i="143"/>
  <c r="N29" i="143" s="1"/>
  <c r="O29" i="143" s="1"/>
  <c r="D39" i="143"/>
  <c r="D27" i="143"/>
  <c r="N27" i="143" s="1"/>
  <c r="O27" i="143" s="1"/>
  <c r="D36" i="100"/>
  <c r="M36" i="100" s="1"/>
  <c r="D20" i="126"/>
  <c r="N20" i="126" s="1"/>
  <c r="D28" i="126"/>
  <c r="N28" i="126" s="1"/>
  <c r="O28" i="126" s="1"/>
  <c r="D54" i="140"/>
  <c r="N54" i="140" s="1"/>
  <c r="O54" i="140" s="1"/>
  <c r="D28" i="37"/>
  <c r="N28" i="37" s="1"/>
  <c r="O28" i="37" s="1"/>
  <c r="D32" i="37"/>
  <c r="N32" i="37" s="1"/>
  <c r="O32" i="37" s="1"/>
  <c r="D31" i="138"/>
  <c r="D39" i="138"/>
  <c r="M39" i="138" s="1"/>
  <c r="N20" i="100"/>
  <c r="D27" i="100"/>
  <c r="N27" i="100" s="1"/>
  <c r="O27" i="100" s="1"/>
  <c r="D33" i="127"/>
  <c r="N33" i="127" s="1"/>
  <c r="O33" i="127" s="1"/>
  <c r="D39" i="126"/>
  <c r="N39" i="126" s="1"/>
  <c r="O39" i="126" s="1"/>
  <c r="D32" i="140"/>
  <c r="N32" i="140" s="1"/>
  <c r="O32" i="140" s="1"/>
  <c r="D36" i="140"/>
  <c r="N36" i="140" s="1"/>
  <c r="O36" i="140" s="1"/>
  <c r="D56" i="140"/>
  <c r="N56" i="140" s="1"/>
  <c r="O56" i="140" s="1"/>
  <c r="D44" i="37"/>
  <c r="O44" i="37" s="1"/>
  <c r="D50" i="37"/>
  <c r="N50" i="37" s="1"/>
  <c r="O50" i="37" s="1"/>
  <c r="D29" i="128"/>
  <c r="N29" i="128" s="1"/>
  <c r="O29" i="128" s="1"/>
  <c r="D52" i="128"/>
  <c r="N52" i="128" s="1"/>
  <c r="O52" i="128" s="1"/>
  <c r="D27" i="119"/>
  <c r="D35" i="119"/>
  <c r="D31" i="139"/>
  <c r="D40" i="139"/>
  <c r="N40" i="139" s="1"/>
  <c r="O40" i="139" s="1"/>
  <c r="D47" i="100"/>
  <c r="N47" i="100" s="1"/>
  <c r="O47" i="100" s="1"/>
  <c r="D45" i="127"/>
  <c r="N45" i="127" s="1"/>
  <c r="O45" i="127" s="1"/>
  <c r="D54" i="127"/>
  <c r="N54" i="127" s="1"/>
  <c r="O54" i="127" s="1"/>
  <c r="D26" i="126"/>
  <c r="N26" i="126" s="1"/>
  <c r="O26" i="126" s="1"/>
  <c r="D30" i="126"/>
  <c r="N30" i="126" s="1"/>
  <c r="O30" i="126" s="1"/>
  <c r="D50" i="126"/>
  <c r="N50" i="126" s="1"/>
  <c r="O50" i="126" s="1"/>
  <c r="D43" i="140"/>
  <c r="M43" i="140" s="1"/>
  <c r="D22" i="37"/>
  <c r="N22" i="37" s="1"/>
  <c r="D30" i="37"/>
  <c r="N30" i="37" s="1"/>
  <c r="O30" i="37" s="1"/>
  <c r="D38" i="37"/>
  <c r="M38" i="37" s="1"/>
  <c r="D49" i="119"/>
  <c r="N49" i="119" s="1"/>
  <c r="O49" i="119" s="1"/>
  <c r="D26" i="100"/>
  <c r="N26" i="100" s="1"/>
  <c r="O26" i="100" s="1"/>
  <c r="D32" i="127"/>
  <c r="N32" i="127" s="1"/>
  <c r="O32" i="127" s="1"/>
  <c r="D40" i="128"/>
  <c r="N40" i="128" s="1"/>
  <c r="O40" i="128" s="1"/>
  <c r="D45" i="128"/>
  <c r="O45" i="128" s="1"/>
  <c r="D52" i="139"/>
  <c r="N52" i="139" s="1"/>
  <c r="O52" i="139" s="1"/>
  <c r="D38" i="139"/>
  <c r="D39" i="139"/>
  <c r="M39" i="139" s="1"/>
  <c r="D36" i="145"/>
  <c r="D58" i="129"/>
  <c r="N58" i="129" s="1"/>
  <c r="O58" i="129" s="1"/>
  <c r="D58" i="130"/>
  <c r="N58" i="130" s="1"/>
  <c r="O58" i="130" s="1"/>
  <c r="D43" i="132"/>
  <c r="N43" i="132" s="1"/>
  <c r="O43" i="132" s="1"/>
  <c r="D47" i="133"/>
  <c r="N47" i="133" s="1"/>
  <c r="O47" i="133" s="1"/>
  <c r="D51" i="136"/>
  <c r="N51" i="136" s="1"/>
  <c r="O51" i="136" s="1"/>
  <c r="D57" i="130"/>
  <c r="N57" i="130" s="1"/>
  <c r="O57" i="130" s="1"/>
  <c r="D36" i="132"/>
  <c r="N36" i="132" s="1"/>
  <c r="O36" i="132" s="1"/>
  <c r="D37" i="129"/>
  <c r="D33" i="130"/>
  <c r="D34" i="130" s="1"/>
  <c r="N34" i="130" s="1"/>
  <c r="O34" i="130" s="1"/>
  <c r="D45" i="130"/>
  <c r="N45" i="130" s="1"/>
  <c r="O45" i="130" s="1"/>
  <c r="D26" i="131"/>
  <c r="N26" i="131" s="1"/>
  <c r="D34" i="131"/>
  <c r="N34" i="131" s="1"/>
  <c r="O34" i="131" s="1"/>
  <c r="O59" i="131"/>
  <c r="N20" i="132"/>
  <c r="D27" i="132"/>
  <c r="N27" i="132" s="1"/>
  <c r="O27" i="132" s="1"/>
  <c r="D31" i="132"/>
  <c r="N31" i="132" s="1"/>
  <c r="O31" i="132" s="1"/>
  <c r="D45" i="132"/>
  <c r="N45" i="132" s="1"/>
  <c r="O45" i="132" s="1"/>
  <c r="O57" i="132"/>
  <c r="D22" i="133"/>
  <c r="N22" i="133" s="1"/>
  <c r="D29" i="133"/>
  <c r="N29" i="133" s="1"/>
  <c r="O29" i="133" s="1"/>
  <c r="D33" i="133"/>
  <c r="N33" i="133" s="1"/>
  <c r="O33" i="133" s="1"/>
  <c r="D37" i="133"/>
  <c r="N37" i="133" s="1"/>
  <c r="O37" i="133" s="1"/>
  <c r="D43" i="141"/>
  <c r="N43" i="141" s="1"/>
  <c r="O43" i="141" s="1"/>
  <c r="D53" i="141"/>
  <c r="N53" i="141" s="1"/>
  <c r="O53" i="141" s="1"/>
  <c r="D37" i="142"/>
  <c r="N37" i="142" s="1"/>
  <c r="O37" i="142" s="1"/>
  <c r="D41" i="142"/>
  <c r="M41" i="142" s="1"/>
  <c r="O66" i="142"/>
  <c r="D56" i="130"/>
  <c r="N56" i="130" s="1"/>
  <c r="O56" i="130" s="1"/>
  <c r="D34" i="132"/>
  <c r="D36" i="130"/>
  <c r="N36" i="130" s="1"/>
  <c r="O36" i="130" s="1"/>
  <c r="D33" i="131"/>
  <c r="N33" i="131" s="1"/>
  <c r="O33" i="131" s="1"/>
  <c r="D37" i="131"/>
  <c r="N37" i="131" s="1"/>
  <c r="O37" i="131" s="1"/>
  <c r="O64" i="131"/>
  <c r="D26" i="132"/>
  <c r="N26" i="132" s="1"/>
  <c r="O26" i="132" s="1"/>
  <c r="D28" i="133"/>
  <c r="N28" i="133" s="1"/>
  <c r="O28" i="133" s="1"/>
  <c r="D32" i="133"/>
  <c r="N32" i="133" s="1"/>
  <c r="O32" i="133" s="1"/>
  <c r="D36" i="133"/>
  <c r="M36" i="133" s="1"/>
  <c r="D34" i="141"/>
  <c r="N34" i="141" s="1"/>
  <c r="O34" i="141" s="1"/>
  <c r="D52" i="141"/>
  <c r="N52" i="141" s="1"/>
  <c r="O52" i="141" s="1"/>
  <c r="D36" i="142"/>
  <c r="D40" i="142"/>
  <c r="D35" i="130"/>
  <c r="N35" i="130" s="1"/>
  <c r="O35" i="130" s="1"/>
  <c r="D25" i="132"/>
  <c r="N25" i="132" s="1"/>
  <c r="O25" i="132" s="1"/>
  <c r="D23" i="133"/>
  <c r="N23" i="133" s="1"/>
  <c r="O23" i="133" s="1"/>
  <c r="D31" i="133"/>
  <c r="N31" i="133" s="1"/>
  <c r="O31" i="133" s="1"/>
  <c r="D37" i="141"/>
  <c r="N37" i="141" s="1"/>
  <c r="O37" i="141" s="1"/>
  <c r="D41" i="141"/>
  <c r="M41" i="141" s="1"/>
  <c r="J42" i="37"/>
  <c r="J46" i="142"/>
  <c r="J41" i="126"/>
  <c r="J47" i="140"/>
  <c r="J43" i="128"/>
  <c r="J40" i="133"/>
  <c r="N42" i="131" l="1"/>
  <c r="O42" i="131" s="1"/>
  <c r="O44" i="34"/>
  <c r="N39" i="143"/>
  <c r="O39" i="143" s="1"/>
  <c r="O66" i="156"/>
  <c r="O68" i="156"/>
  <c r="D16" i="142"/>
  <c r="D27" i="142" s="1"/>
  <c r="D16" i="139"/>
  <c r="D53" i="139" s="1"/>
  <c r="N53" i="139" s="1"/>
  <c r="O53" i="139" s="1"/>
  <c r="D15" i="139"/>
  <c r="L38" i="127"/>
  <c r="O38" i="127" s="1"/>
  <c r="N38" i="147"/>
  <c r="O38" i="147" s="1"/>
  <c r="O38" i="154"/>
  <c r="O56" i="154" s="1"/>
  <c r="N56" i="154"/>
  <c r="N58" i="154" s="1"/>
  <c r="G32" i="143"/>
  <c r="J32" i="143" s="1"/>
  <c r="D16" i="141"/>
  <c r="D27" i="141" s="1"/>
  <c r="O38" i="155"/>
  <c r="O56" i="155" s="1"/>
  <c r="N56" i="155"/>
  <c r="N58" i="155" s="1"/>
  <c r="D16" i="130"/>
  <c r="D59" i="130" s="1"/>
  <c r="N59" i="130" s="1"/>
  <c r="O59" i="130" s="1"/>
  <c r="N35" i="119"/>
  <c r="O35" i="119" s="1"/>
  <c r="O38" i="153"/>
  <c r="O56" i="153" s="1"/>
  <c r="N56" i="153"/>
  <c r="N58" i="153" s="1"/>
  <c r="D15" i="129"/>
  <c r="C18" i="145"/>
  <c r="D18" i="145" s="1"/>
  <c r="D16" i="138"/>
  <c r="D53" i="138" s="1"/>
  <c r="N53" i="138" s="1"/>
  <c r="O53" i="138" s="1"/>
  <c r="D16" i="129"/>
  <c r="D60" i="129" s="1"/>
  <c r="N60" i="129" s="1"/>
  <c r="O60" i="129" s="1"/>
  <c r="O39" i="148"/>
  <c r="O38" i="151"/>
  <c r="O56" i="151" s="1"/>
  <c r="N56" i="151"/>
  <c r="N58" i="151" s="1"/>
  <c r="O38" i="152"/>
  <c r="O56" i="152" s="1"/>
  <c r="N56" i="152"/>
  <c r="N58" i="152" s="1"/>
  <c r="O42" i="149"/>
  <c r="O59" i="149" s="1"/>
  <c r="O61" i="149" s="1"/>
  <c r="N59" i="149"/>
  <c r="N61" i="149" s="1"/>
  <c r="O38" i="150"/>
  <c r="O56" i="150" s="1"/>
  <c r="N56" i="150"/>
  <c r="N58" i="150" s="1"/>
  <c r="N38" i="148"/>
  <c r="O38" i="148" s="1"/>
  <c r="N38" i="128"/>
  <c r="O38" i="128" s="1"/>
  <c r="N38" i="138"/>
  <c r="O38" i="138" s="1"/>
  <c r="M44" i="129"/>
  <c r="O44" i="129" s="1"/>
  <c r="O22" i="148"/>
  <c r="O23" i="148" s="1"/>
  <c r="N23" i="148"/>
  <c r="L56" i="148"/>
  <c r="L58" i="148" s="1"/>
  <c r="O66" i="148" s="1"/>
  <c r="O39" i="147"/>
  <c r="M56" i="147"/>
  <c r="M58" i="147" s="1"/>
  <c r="O27" i="147"/>
  <c r="N23" i="147"/>
  <c r="L56" i="147"/>
  <c r="L58" i="147" s="1"/>
  <c r="O66" i="147" s="1"/>
  <c r="L33" i="143"/>
  <c r="O33" i="143" s="1"/>
  <c r="N37" i="37"/>
  <c r="O37" i="37" s="1"/>
  <c r="N38" i="139"/>
  <c r="O38" i="139" s="1"/>
  <c r="N43" i="129"/>
  <c r="O43" i="129" s="1"/>
  <c r="N43" i="145"/>
  <c r="O43" i="145" s="1"/>
  <c r="D15" i="138"/>
  <c r="L35" i="139"/>
  <c r="O35" i="139" s="1"/>
  <c r="M34" i="132"/>
  <c r="M48" i="132" s="1"/>
  <c r="M50" i="132" s="1"/>
  <c r="L34" i="37"/>
  <c r="O34" i="37" s="1"/>
  <c r="D30" i="139"/>
  <c r="N30" i="139" s="1"/>
  <c r="O30" i="139" s="1"/>
  <c r="M40" i="131"/>
  <c r="M54" i="131" s="1"/>
  <c r="M56" i="131" s="1"/>
  <c r="L34" i="143"/>
  <c r="O34" i="143" s="1"/>
  <c r="N42" i="130"/>
  <c r="O42" i="130" s="1"/>
  <c r="N40" i="141"/>
  <c r="O40" i="141" s="1"/>
  <c r="N40" i="142"/>
  <c r="O40" i="142" s="1"/>
  <c r="O37" i="126"/>
  <c r="L56" i="128"/>
  <c r="L58" i="128" s="1"/>
  <c r="O66" i="128" s="1"/>
  <c r="N34" i="145"/>
  <c r="O34" i="145" s="1"/>
  <c r="N28" i="140"/>
  <c r="D38" i="140" s="1"/>
  <c r="N38" i="140" s="1"/>
  <c r="D44" i="139"/>
  <c r="O44" i="139" s="1"/>
  <c r="D45" i="138"/>
  <c r="O45" i="138" s="1"/>
  <c r="N30" i="138"/>
  <c r="O30" i="138" s="1"/>
  <c r="D35" i="141"/>
  <c r="N35" i="141" s="1"/>
  <c r="O35" i="141" s="1"/>
  <c r="D51" i="130"/>
  <c r="O51" i="130" s="1"/>
  <c r="N26" i="119"/>
  <c r="O26" i="119" s="1"/>
  <c r="D35" i="142"/>
  <c r="N35" i="142" s="1"/>
  <c r="O35" i="142" s="1"/>
  <c r="D35" i="129"/>
  <c r="D35" i="145"/>
  <c r="D34" i="136"/>
  <c r="N34" i="136" s="1"/>
  <c r="O34" i="136" s="1"/>
  <c r="L31" i="143"/>
  <c r="O31" i="143" s="1"/>
  <c r="L35" i="138"/>
  <c r="J35" i="138"/>
  <c r="L40" i="145"/>
  <c r="O40" i="145" s="1"/>
  <c r="L54" i="119"/>
  <c r="L56" i="119" s="1"/>
  <c r="L32" i="126"/>
  <c r="L53" i="126" s="1"/>
  <c r="L55" i="126" s="1"/>
  <c r="O63" i="126" s="1"/>
  <c r="L39" i="140"/>
  <c r="O39" i="140" s="1"/>
  <c r="L58" i="34"/>
  <c r="L60" i="34" s="1"/>
  <c r="O68" i="34" s="1"/>
  <c r="L52" i="100"/>
  <c r="L54" i="100" s="1"/>
  <c r="O61" i="100" s="1"/>
  <c r="D26" i="136"/>
  <c r="D53" i="136"/>
  <c r="N53" i="136" s="1"/>
  <c r="O53" i="136" s="1"/>
  <c r="N34" i="129"/>
  <c r="O34" i="129" s="1"/>
  <c r="D14" i="136"/>
  <c r="D41" i="136" s="1"/>
  <c r="O20" i="119"/>
  <c r="O21" i="119" s="1"/>
  <c r="D19" i="145"/>
  <c r="D14" i="129"/>
  <c r="D19" i="129"/>
  <c r="D29" i="129" s="1"/>
  <c r="N29" i="129" s="1"/>
  <c r="O29" i="129" s="1"/>
  <c r="M56" i="128"/>
  <c r="M58" i="128" s="1"/>
  <c r="D17" i="136"/>
  <c r="O43" i="127"/>
  <c r="O26" i="127"/>
  <c r="O27" i="127" s="1"/>
  <c r="D15" i="145"/>
  <c r="D17" i="145"/>
  <c r="D16" i="145"/>
  <c r="D14" i="145"/>
  <c r="D15" i="136"/>
  <c r="D15" i="141"/>
  <c r="D19" i="141"/>
  <c r="D29" i="141" s="1"/>
  <c r="N29" i="141" s="1"/>
  <c r="O29" i="141" s="1"/>
  <c r="D14" i="141"/>
  <c r="D42" i="141" s="1"/>
  <c r="D17" i="141"/>
  <c r="D15" i="130"/>
  <c r="D14" i="130"/>
  <c r="D15" i="142"/>
  <c r="D19" i="142"/>
  <c r="D29" i="142" s="1"/>
  <c r="N29" i="142" s="1"/>
  <c r="O29" i="142" s="1"/>
  <c r="D14" i="142"/>
  <c r="D42" i="142" s="1"/>
  <c r="L42" i="129"/>
  <c r="L62" i="130"/>
  <c r="L64" i="130" s="1"/>
  <c r="O71" i="130" s="1"/>
  <c r="O40" i="136"/>
  <c r="M54" i="119"/>
  <c r="M56" i="119" s="1"/>
  <c r="D42" i="119"/>
  <c r="O42" i="119" s="1"/>
  <c r="N25" i="119"/>
  <c r="O25" i="119" s="1"/>
  <c r="D44" i="138"/>
  <c r="O44" i="138" s="1"/>
  <c r="N29" i="138"/>
  <c r="O29" i="138" s="1"/>
  <c r="D37" i="136"/>
  <c r="N37" i="136" s="1"/>
  <c r="O37" i="136" s="1"/>
  <c r="N35" i="136"/>
  <c r="O35" i="136" s="1"/>
  <c r="O22" i="133"/>
  <c r="O24" i="133" s="1"/>
  <c r="N24" i="133"/>
  <c r="O41" i="142"/>
  <c r="N27" i="131"/>
  <c r="O26" i="131"/>
  <c r="O27" i="131" s="1"/>
  <c r="M55" i="37"/>
  <c r="M57" i="37" s="1"/>
  <c r="O38" i="37"/>
  <c r="O41" i="141"/>
  <c r="M51" i="133"/>
  <c r="M53" i="133" s="1"/>
  <c r="O36" i="133"/>
  <c r="N27" i="34"/>
  <c r="O26" i="34"/>
  <c r="O27" i="34" s="1"/>
  <c r="M58" i="34"/>
  <c r="M60" i="34" s="1"/>
  <c r="O42" i="34"/>
  <c r="N36" i="145"/>
  <c r="D38" i="145"/>
  <c r="N38" i="145" s="1"/>
  <c r="O38" i="145" s="1"/>
  <c r="M56" i="138"/>
  <c r="M58" i="138" s="1"/>
  <c r="O39" i="138"/>
  <c r="M59" i="140"/>
  <c r="M61" i="140" s="1"/>
  <c r="O43" i="140"/>
  <c r="D29" i="119"/>
  <c r="N29" i="119" s="1"/>
  <c r="O29" i="119" s="1"/>
  <c r="N27" i="119"/>
  <c r="O27" i="119" s="1"/>
  <c r="D33" i="138"/>
  <c r="N33" i="138" s="1"/>
  <c r="O33" i="138" s="1"/>
  <c r="N31" i="138"/>
  <c r="O31" i="138" s="1"/>
  <c r="D30" i="119"/>
  <c r="N30" i="119" s="1"/>
  <c r="O30" i="119" s="1"/>
  <c r="D44" i="119"/>
  <c r="N44" i="119" s="1"/>
  <c r="O44" i="119" s="1"/>
  <c r="D40" i="119"/>
  <c r="N40" i="119" s="1"/>
  <c r="O40" i="119" s="1"/>
  <c r="D39" i="119"/>
  <c r="N39" i="119" s="1"/>
  <c r="O39" i="119" s="1"/>
  <c r="O22" i="37"/>
  <c r="O23" i="37" s="1"/>
  <c r="N23" i="37"/>
  <c r="N36" i="142"/>
  <c r="D38" i="142"/>
  <c r="N38" i="142" s="1"/>
  <c r="O38" i="142" s="1"/>
  <c r="D50" i="130"/>
  <c r="O50" i="130" s="1"/>
  <c r="N33" i="130"/>
  <c r="D38" i="141"/>
  <c r="N38" i="141" s="1"/>
  <c r="O38" i="141" s="1"/>
  <c r="N21" i="132"/>
  <c r="O20" i="132"/>
  <c r="O21" i="132" s="1"/>
  <c r="D38" i="129"/>
  <c r="N38" i="129" s="1"/>
  <c r="O38" i="129" s="1"/>
  <c r="N37" i="129"/>
  <c r="O37" i="129" s="1"/>
  <c r="O36" i="100"/>
  <c r="M52" i="100"/>
  <c r="M54" i="100" s="1"/>
  <c r="D37" i="130"/>
  <c r="N37" i="130" s="1"/>
  <c r="O37" i="130" s="1"/>
  <c r="N21" i="100"/>
  <c r="O20" i="100"/>
  <c r="O21" i="100" s="1"/>
  <c r="N21" i="126"/>
  <c r="O20" i="126"/>
  <c r="O21" i="126" s="1"/>
  <c r="N20" i="143"/>
  <c r="O19" i="143"/>
  <c r="O20" i="143" s="1"/>
  <c r="M56" i="139"/>
  <c r="M58" i="139" s="1"/>
  <c r="O39" i="139"/>
  <c r="D33" i="139"/>
  <c r="N33" i="139" s="1"/>
  <c r="O33" i="139" s="1"/>
  <c r="N31" i="139"/>
  <c r="O31" i="139" s="1"/>
  <c r="N23" i="128"/>
  <c r="O22" i="128"/>
  <c r="O23" i="128" s="1"/>
  <c r="M53" i="143"/>
  <c r="M55" i="143" s="1"/>
  <c r="O37" i="143"/>
  <c r="D50" i="127"/>
  <c r="N50" i="127" s="1"/>
  <c r="O50" i="127" s="1"/>
  <c r="D37" i="127"/>
  <c r="N37" i="127" s="1"/>
  <c r="O37" i="127" s="1"/>
  <c r="D47" i="127"/>
  <c r="N47" i="127" s="1"/>
  <c r="D46" i="127"/>
  <c r="N46" i="127" s="1"/>
  <c r="O46" i="127" s="1"/>
  <c r="L59" i="127" l="1"/>
  <c r="L61" i="127" s="1"/>
  <c r="O69" i="127" s="1"/>
  <c r="D54" i="142"/>
  <c r="N54" i="142" s="1"/>
  <c r="O54" i="142" s="1"/>
  <c r="D26" i="130"/>
  <c r="D24" i="139"/>
  <c r="N24" i="139" s="1"/>
  <c r="O24" i="139" s="1"/>
  <c r="O25" i="139" s="1"/>
  <c r="D29" i="145"/>
  <c r="N29" i="145" s="1"/>
  <c r="O29" i="145" s="1"/>
  <c r="L32" i="143"/>
  <c r="O32" i="143" s="1"/>
  <c r="D54" i="141"/>
  <c r="N54" i="141" s="1"/>
  <c r="O54" i="141" s="1"/>
  <c r="O61" i="155"/>
  <c r="O58" i="155"/>
  <c r="O65" i="155" s="1"/>
  <c r="D24" i="138"/>
  <c r="N24" i="138" s="1"/>
  <c r="O24" i="138" s="1"/>
  <c r="O25" i="138" s="1"/>
  <c r="D27" i="129"/>
  <c r="O61" i="153"/>
  <c r="O58" i="153"/>
  <c r="O65" i="153" s="1"/>
  <c r="O61" i="154"/>
  <c r="O58" i="154"/>
  <c r="O65" i="154" s="1"/>
  <c r="I25" i="136"/>
  <c r="D43" i="136"/>
  <c r="D28" i="141"/>
  <c r="M42" i="141" s="1"/>
  <c r="O42" i="141" s="1"/>
  <c r="I25" i="130"/>
  <c r="D44" i="130"/>
  <c r="O61" i="150"/>
  <c r="O58" i="150"/>
  <c r="O61" i="152"/>
  <c r="O58" i="152"/>
  <c r="O66" i="149"/>
  <c r="O68" i="149"/>
  <c r="O61" i="151"/>
  <c r="O58" i="151"/>
  <c r="D28" i="129"/>
  <c r="D47" i="129" s="1"/>
  <c r="N47" i="129" s="1"/>
  <c r="O47" i="129" s="1"/>
  <c r="D45" i="129"/>
  <c r="D28" i="145"/>
  <c r="N28" i="145" s="1"/>
  <c r="D45" i="145"/>
  <c r="O34" i="132"/>
  <c r="D42" i="148"/>
  <c r="N42" i="148" s="1"/>
  <c r="O42" i="148" s="1"/>
  <c r="D46" i="148"/>
  <c r="N46" i="148" s="1"/>
  <c r="O46" i="148" s="1"/>
  <c r="D43" i="148"/>
  <c r="N43" i="148" s="1"/>
  <c r="O43" i="148" s="1"/>
  <c r="D33" i="148"/>
  <c r="N33" i="148" s="1"/>
  <c r="D42" i="147"/>
  <c r="N42" i="147" s="1"/>
  <c r="O42" i="147" s="1"/>
  <c r="D43" i="147"/>
  <c r="N43" i="147" s="1"/>
  <c r="O43" i="147" s="1"/>
  <c r="D46" i="147"/>
  <c r="N46" i="147" s="1"/>
  <c r="O46" i="147" s="1"/>
  <c r="D33" i="147"/>
  <c r="N33" i="147" s="1"/>
  <c r="L56" i="139"/>
  <c r="L58" i="139" s="1"/>
  <c r="O65" i="139" s="1"/>
  <c r="L55" i="37"/>
  <c r="L57" i="37" s="1"/>
  <c r="O65" i="37" s="1"/>
  <c r="D45" i="139"/>
  <c r="O45" i="139" s="1"/>
  <c r="O40" i="131"/>
  <c r="D50" i="140"/>
  <c r="N50" i="140" s="1"/>
  <c r="O50" i="140" s="1"/>
  <c r="D46" i="140"/>
  <c r="N46" i="140" s="1"/>
  <c r="O46" i="140" s="1"/>
  <c r="D47" i="140"/>
  <c r="N47" i="140" s="1"/>
  <c r="O47" i="140" s="1"/>
  <c r="N35" i="145"/>
  <c r="O35" i="145" s="1"/>
  <c r="D52" i="145"/>
  <c r="N35" i="129"/>
  <c r="O35" i="129" s="1"/>
  <c r="D52" i="129"/>
  <c r="O52" i="129" s="1"/>
  <c r="L63" i="145"/>
  <c r="L65" i="145" s="1"/>
  <c r="O72" i="145" s="1"/>
  <c r="O35" i="138"/>
  <c r="L56" i="138"/>
  <c r="L58" i="138" s="1"/>
  <c r="O65" i="138" s="1"/>
  <c r="O32" i="126"/>
  <c r="L59" i="140"/>
  <c r="L61" i="140" s="1"/>
  <c r="O69" i="140" s="1"/>
  <c r="D27" i="130"/>
  <c r="D18" i="130"/>
  <c r="D28" i="130" s="1"/>
  <c r="N28" i="130" s="1"/>
  <c r="O28" i="130" s="1"/>
  <c r="D28" i="142"/>
  <c r="M42" i="142" s="1"/>
  <c r="O42" i="142" s="1"/>
  <c r="D27" i="136"/>
  <c r="M41" i="136" s="1"/>
  <c r="O41" i="136" s="1"/>
  <c r="D60" i="145"/>
  <c r="N60" i="145" s="1"/>
  <c r="O60" i="145" s="1"/>
  <c r="D27" i="145"/>
  <c r="D18" i="136"/>
  <c r="D28" i="136" s="1"/>
  <c r="N28" i="136" s="1"/>
  <c r="O28" i="136" s="1"/>
  <c r="O42" i="129"/>
  <c r="L63" i="129"/>
  <c r="L65" i="129" s="1"/>
  <c r="O72" i="129" s="1"/>
  <c r="N54" i="119"/>
  <c r="N56" i="119" s="1"/>
  <c r="D41" i="143"/>
  <c r="N41" i="143" s="1"/>
  <c r="O41" i="143" s="1"/>
  <c r="D44" i="143"/>
  <c r="N44" i="143" s="1"/>
  <c r="O44" i="143" s="1"/>
  <c r="D40" i="143"/>
  <c r="N40" i="143" s="1"/>
  <c r="O40" i="143" s="1"/>
  <c r="D30" i="143"/>
  <c r="N30" i="143" s="1"/>
  <c r="D41" i="126"/>
  <c r="N41" i="126" s="1"/>
  <c r="O41" i="126" s="1"/>
  <c r="D44" i="126"/>
  <c r="N44" i="126" s="1"/>
  <c r="O44" i="126" s="1"/>
  <c r="D31" i="126"/>
  <c r="N31" i="126" s="1"/>
  <c r="D40" i="126"/>
  <c r="N40" i="126" s="1"/>
  <c r="O40" i="126" s="1"/>
  <c r="O33" i="130"/>
  <c r="O36" i="145"/>
  <c r="D42" i="128"/>
  <c r="N42" i="128" s="1"/>
  <c r="O42" i="128" s="1"/>
  <c r="D43" i="128"/>
  <c r="N43" i="128" s="1"/>
  <c r="O43" i="128" s="1"/>
  <c r="D33" i="128"/>
  <c r="N33" i="128" s="1"/>
  <c r="D46" i="128"/>
  <c r="N46" i="128" s="1"/>
  <c r="O46" i="128" s="1"/>
  <c r="D36" i="131"/>
  <c r="N36" i="131" s="1"/>
  <c r="D38" i="131"/>
  <c r="N38" i="131" s="1"/>
  <c r="O38" i="131" s="1"/>
  <c r="D43" i="131"/>
  <c r="N43" i="131" s="1"/>
  <c r="O43" i="131" s="1"/>
  <c r="D44" i="131"/>
  <c r="N44" i="131" s="1"/>
  <c r="O44" i="131" s="1"/>
  <c r="D46" i="131"/>
  <c r="N46" i="131" s="1"/>
  <c r="O46" i="131" s="1"/>
  <c r="O54" i="119"/>
  <c r="O56" i="119" s="1"/>
  <c r="O36" i="142"/>
  <c r="D39" i="133"/>
  <c r="N39" i="133" s="1"/>
  <c r="O39" i="133" s="1"/>
  <c r="D42" i="133"/>
  <c r="N42" i="133" s="1"/>
  <c r="O42" i="133" s="1"/>
  <c r="D40" i="133"/>
  <c r="N40" i="133" s="1"/>
  <c r="O40" i="133" s="1"/>
  <c r="D34" i="133"/>
  <c r="N34" i="133" s="1"/>
  <c r="D46" i="34"/>
  <c r="N46" i="34" s="1"/>
  <c r="D49" i="34"/>
  <c r="N49" i="34" s="1"/>
  <c r="O49" i="34" s="1"/>
  <c r="D45" i="34"/>
  <c r="N45" i="34" s="1"/>
  <c r="O45" i="34" s="1"/>
  <c r="D37" i="34"/>
  <c r="N37" i="34" s="1"/>
  <c r="O37" i="34" s="1"/>
  <c r="D38" i="132"/>
  <c r="N38" i="132" s="1"/>
  <c r="O38" i="132" s="1"/>
  <c r="D30" i="132"/>
  <c r="N30" i="132" s="1"/>
  <c r="D40" i="132"/>
  <c r="N40" i="132" s="1"/>
  <c r="O40" i="132" s="1"/>
  <c r="D37" i="132"/>
  <c r="N37" i="132" s="1"/>
  <c r="O37" i="132" s="1"/>
  <c r="D32" i="132"/>
  <c r="N32" i="132" s="1"/>
  <c r="O32" i="132" s="1"/>
  <c r="N59" i="127"/>
  <c r="N61" i="127" s="1"/>
  <c r="O47" i="127"/>
  <c r="O59" i="127" s="1"/>
  <c r="O61" i="127" s="1"/>
  <c r="O38" i="140"/>
  <c r="D43" i="100"/>
  <c r="N43" i="100" s="1"/>
  <c r="O43" i="100" s="1"/>
  <c r="D39" i="100"/>
  <c r="N39" i="100" s="1"/>
  <c r="O39" i="100" s="1"/>
  <c r="D31" i="100"/>
  <c r="N31" i="100" s="1"/>
  <c r="D40" i="100"/>
  <c r="N40" i="100" s="1"/>
  <c r="O40" i="100" s="1"/>
  <c r="D45" i="37"/>
  <c r="N45" i="37" s="1"/>
  <c r="O45" i="37" s="1"/>
  <c r="D33" i="37"/>
  <c r="N33" i="37" s="1"/>
  <c r="D41" i="37"/>
  <c r="N41" i="37" s="1"/>
  <c r="O41" i="37" s="1"/>
  <c r="D42" i="37"/>
  <c r="N42" i="37" s="1"/>
  <c r="O42" i="37" s="1"/>
  <c r="D47" i="145" l="1"/>
  <c r="N47" i="145" s="1"/>
  <c r="O47" i="145" s="1"/>
  <c r="N25" i="139"/>
  <c r="N46" i="139" s="1"/>
  <c r="O46" i="139" s="1"/>
  <c r="L53" i="143"/>
  <c r="L55" i="143" s="1"/>
  <c r="O62" i="143" s="1"/>
  <c r="O63" i="155"/>
  <c r="M57" i="141"/>
  <c r="M59" i="141" s="1"/>
  <c r="D44" i="141"/>
  <c r="N44" i="141" s="1"/>
  <c r="O44" i="141" s="1"/>
  <c r="M44" i="130"/>
  <c r="M62" i="130" s="1"/>
  <c r="M64" i="130" s="1"/>
  <c r="N25" i="138"/>
  <c r="D41" i="138" s="1"/>
  <c r="N28" i="141"/>
  <c r="N30" i="141" s="1"/>
  <c r="O63" i="154"/>
  <c r="O63" i="153"/>
  <c r="N28" i="129"/>
  <c r="N30" i="129" s="1"/>
  <c r="M45" i="129"/>
  <c r="O45" i="129" s="1"/>
  <c r="O63" i="151"/>
  <c r="O65" i="151"/>
  <c r="O65" i="152"/>
  <c r="O63" i="152"/>
  <c r="O65" i="150"/>
  <c r="O63" i="150"/>
  <c r="M45" i="145"/>
  <c r="O33" i="148"/>
  <c r="O56" i="148" s="1"/>
  <c r="N56" i="148"/>
  <c r="N58" i="148" s="1"/>
  <c r="O33" i="147"/>
  <c r="O56" i="147" s="1"/>
  <c r="N56" i="147"/>
  <c r="N58" i="147" s="1"/>
  <c r="M57" i="142"/>
  <c r="M59" i="142" s="1"/>
  <c r="M56" i="136"/>
  <c r="M58" i="136" s="1"/>
  <c r="N59" i="140"/>
  <c r="N61" i="140" s="1"/>
  <c r="O59" i="140"/>
  <c r="O61" i="140" s="1"/>
  <c r="O68" i="140" s="1"/>
  <c r="N25" i="136"/>
  <c r="J25" i="136"/>
  <c r="J25" i="130"/>
  <c r="N25" i="130"/>
  <c r="N43" i="136"/>
  <c r="O43" i="136" s="1"/>
  <c r="N27" i="136"/>
  <c r="O27" i="136" s="1"/>
  <c r="D46" i="130"/>
  <c r="N46" i="130" s="1"/>
  <c r="O46" i="130" s="1"/>
  <c r="N27" i="130"/>
  <c r="O27" i="130" s="1"/>
  <c r="D44" i="142"/>
  <c r="N44" i="142" s="1"/>
  <c r="O44" i="142" s="1"/>
  <c r="N28" i="142"/>
  <c r="O28" i="145"/>
  <c r="O30" i="145" s="1"/>
  <c r="N30" i="145"/>
  <c r="O59" i="119"/>
  <c r="O61" i="119" s="1"/>
  <c r="O33" i="37"/>
  <c r="O55" i="37" s="1"/>
  <c r="N55" i="37"/>
  <c r="N57" i="37" s="1"/>
  <c r="O30" i="143"/>
  <c r="O53" i="143" s="1"/>
  <c r="O55" i="143" s="1"/>
  <c r="O57" i="143" s="1"/>
  <c r="N53" i="143"/>
  <c r="N55" i="143" s="1"/>
  <c r="O63" i="119"/>
  <c r="N58" i="34"/>
  <c r="N60" i="34" s="1"/>
  <c r="O46" i="34"/>
  <c r="O58" i="34" s="1"/>
  <c r="O60" i="34" s="1"/>
  <c r="O66" i="127"/>
  <c r="O68" i="127"/>
  <c r="O34" i="133"/>
  <c r="O51" i="133" s="1"/>
  <c r="N51" i="133"/>
  <c r="N53" i="133" s="1"/>
  <c r="O31" i="100"/>
  <c r="O52" i="100" s="1"/>
  <c r="O54" i="100" s="1"/>
  <c r="N52" i="100"/>
  <c r="N54" i="100" s="1"/>
  <c r="O36" i="131"/>
  <c r="O54" i="131" s="1"/>
  <c r="O56" i="131" s="1"/>
  <c r="N54" i="131"/>
  <c r="N56" i="131" s="1"/>
  <c r="O33" i="128"/>
  <c r="O56" i="128" s="1"/>
  <c r="N56" i="128"/>
  <c r="N58" i="128" s="1"/>
  <c r="O31" i="126"/>
  <c r="O53" i="126" s="1"/>
  <c r="O55" i="126" s="1"/>
  <c r="O58" i="126" s="1"/>
  <c r="N53" i="126"/>
  <c r="N55" i="126" s="1"/>
  <c r="O30" i="132"/>
  <c r="O48" i="132" s="1"/>
  <c r="O50" i="132" s="1"/>
  <c r="O52" i="132" s="1"/>
  <c r="N48" i="132"/>
  <c r="N50" i="132" s="1"/>
  <c r="D41" i="139" l="1"/>
  <c r="D46" i="139"/>
  <c r="D34" i="139"/>
  <c r="N34" i="139" s="1"/>
  <c r="O34" i="139" s="1"/>
  <c r="N42" i="139"/>
  <c r="O42" i="139" s="1"/>
  <c r="N41" i="139"/>
  <c r="O41" i="139" s="1"/>
  <c r="D42" i="139"/>
  <c r="N42" i="138"/>
  <c r="O42" i="138" s="1"/>
  <c r="O28" i="141"/>
  <c r="O30" i="141" s="1"/>
  <c r="D42" i="138"/>
  <c r="D46" i="138"/>
  <c r="O44" i="130"/>
  <c r="O28" i="129"/>
  <c r="O30" i="129" s="1"/>
  <c r="D34" i="138"/>
  <c r="N34" i="138" s="1"/>
  <c r="O34" i="138" s="1"/>
  <c r="N41" i="138"/>
  <c r="O41" i="138" s="1"/>
  <c r="N46" i="138"/>
  <c r="O46" i="138" s="1"/>
  <c r="M63" i="129"/>
  <c r="M65" i="129" s="1"/>
  <c r="O45" i="145"/>
  <c r="M63" i="145"/>
  <c r="M65" i="145" s="1"/>
  <c r="O61" i="148"/>
  <c r="O58" i="148"/>
  <c r="O61" i="147"/>
  <c r="O58" i="147"/>
  <c r="O66" i="140"/>
  <c r="O25" i="130"/>
  <c r="N29" i="130"/>
  <c r="N53" i="145"/>
  <c r="O53" i="145" s="1"/>
  <c r="N48" i="145"/>
  <c r="N49" i="145"/>
  <c r="O49" i="145" s="1"/>
  <c r="D53" i="145"/>
  <c r="D39" i="145"/>
  <c r="D48" i="145"/>
  <c r="D49" i="145"/>
  <c r="N53" i="129"/>
  <c r="O53" i="129" s="1"/>
  <c r="D53" i="129"/>
  <c r="D49" i="129"/>
  <c r="D39" i="129"/>
  <c r="N39" i="129" s="1"/>
  <c r="N49" i="129"/>
  <c r="O49" i="129" s="1"/>
  <c r="D48" i="129"/>
  <c r="N48" i="129"/>
  <c r="O48" i="129" s="1"/>
  <c r="D45" i="141"/>
  <c r="D46" i="141"/>
  <c r="D39" i="141"/>
  <c r="N39" i="141" s="1"/>
  <c r="N48" i="141"/>
  <c r="O48" i="141" s="1"/>
  <c r="N45" i="141"/>
  <c r="O45" i="141" s="1"/>
  <c r="N46" i="141"/>
  <c r="O46" i="141" s="1"/>
  <c r="D48" i="141"/>
  <c r="N29" i="136"/>
  <c r="O25" i="136"/>
  <c r="O28" i="142"/>
  <c r="N30" i="142"/>
  <c r="O60" i="100"/>
  <c r="O56" i="100"/>
  <c r="O58" i="100" s="1"/>
  <c r="O58" i="128"/>
  <c r="O61" i="128"/>
  <c r="O62" i="126"/>
  <c r="O60" i="126"/>
  <c r="O59" i="143"/>
  <c r="O61" i="143"/>
  <c r="O61" i="131"/>
  <c r="O63" i="131"/>
  <c r="O53" i="133"/>
  <c r="O56" i="133"/>
  <c r="O56" i="132"/>
  <c r="O54" i="132"/>
  <c r="O60" i="37"/>
  <c r="O57" i="37"/>
  <c r="O65" i="34"/>
  <c r="O67" i="34"/>
  <c r="O56" i="139" l="1"/>
  <c r="O60" i="139" s="1"/>
  <c r="N56" i="139"/>
  <c r="N58" i="139" s="1"/>
  <c r="N56" i="138"/>
  <c r="N58" i="138" s="1"/>
  <c r="O56" i="138"/>
  <c r="O58" i="138" s="1"/>
  <c r="O63" i="148"/>
  <c r="O65" i="148"/>
  <c r="O63" i="147"/>
  <c r="O65" i="147"/>
  <c r="O39" i="129"/>
  <c r="O63" i="129" s="1"/>
  <c r="N63" i="129"/>
  <c r="N65" i="129" s="1"/>
  <c r="N46" i="142"/>
  <c r="O46" i="142" s="1"/>
  <c r="D39" i="142"/>
  <c r="N39" i="142" s="1"/>
  <c r="N45" i="142"/>
  <c r="O45" i="142" s="1"/>
  <c r="N48" i="142"/>
  <c r="O48" i="142" s="1"/>
  <c r="D48" i="142"/>
  <c r="D45" i="142"/>
  <c r="D46" i="142"/>
  <c r="O48" i="145"/>
  <c r="O63" i="145" s="1"/>
  <c r="N63" i="145"/>
  <c r="N65" i="145" s="1"/>
  <c r="O39" i="141"/>
  <c r="O57" i="141" s="1"/>
  <c r="N57" i="141"/>
  <c r="N59" i="141" s="1"/>
  <c r="D48" i="130"/>
  <c r="D47" i="130"/>
  <c r="D38" i="130"/>
  <c r="N38" i="130" s="1"/>
  <c r="N52" i="130"/>
  <c r="O52" i="130" s="1"/>
  <c r="N48" i="130"/>
  <c r="O48" i="130" s="1"/>
  <c r="D52" i="130"/>
  <c r="N47" i="130"/>
  <c r="O47" i="130" s="1"/>
  <c r="O30" i="142"/>
  <c r="O29" i="136"/>
  <c r="D44" i="136"/>
  <c r="N47" i="136"/>
  <c r="O47" i="136" s="1"/>
  <c r="D47" i="136"/>
  <c r="D45" i="136"/>
  <c r="D38" i="136"/>
  <c r="N38" i="136" s="1"/>
  <c r="N45" i="136"/>
  <c r="O45" i="136" s="1"/>
  <c r="N44" i="136"/>
  <c r="O44" i="136" s="1"/>
  <c r="O29" i="130"/>
  <c r="O65" i="128"/>
  <c r="O63" i="128"/>
  <c r="O62" i="37"/>
  <c r="O64" i="37"/>
  <c r="O58" i="133"/>
  <c r="O60" i="133"/>
  <c r="O58" i="139" l="1"/>
  <c r="O62" i="139" s="1"/>
  <c r="O64" i="139" s="1"/>
  <c r="O60" i="138"/>
  <c r="O62" i="138" s="1"/>
  <c r="O64" i="138" s="1"/>
  <c r="O59" i="141"/>
  <c r="O61" i="141"/>
  <c r="O38" i="136"/>
  <c r="O56" i="136" s="1"/>
  <c r="N56" i="136"/>
  <c r="N58" i="136" s="1"/>
  <c r="O39" i="142"/>
  <c r="O57" i="142" s="1"/>
  <c r="O61" i="142" s="1"/>
  <c r="N57" i="142"/>
  <c r="N59" i="142" s="1"/>
  <c r="O65" i="145"/>
  <c r="O67" i="145"/>
  <c r="O38" i="130"/>
  <c r="O62" i="130" s="1"/>
  <c r="O66" i="130" s="1"/>
  <c r="N62" i="130"/>
  <c r="N64" i="130" s="1"/>
  <c r="O67" i="129"/>
  <c r="O65" i="129"/>
  <c r="O59" i="142" l="1"/>
  <c r="O63" i="142" s="1"/>
  <c r="O65" i="142" s="1"/>
  <c r="O63" i="141"/>
  <c r="O65" i="141" s="1"/>
  <c r="O69" i="145"/>
  <c r="O71" i="145" s="1"/>
  <c r="O69" i="129"/>
  <c r="O71" i="129" s="1"/>
  <c r="O58" i="136"/>
  <c r="O60" i="136"/>
  <c r="O64" i="130"/>
  <c r="O68" i="130" s="1"/>
  <c r="O70" i="130" s="1"/>
  <c r="O62" i="136" l="1"/>
  <c r="O64" i="1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00000000-0006-0000-0000-000001000000}">
      <text>
        <r>
          <rPr>
            <b/>
            <sz val="8"/>
            <color indexed="81"/>
            <rFont val="Tahoma"/>
            <family val="2"/>
          </rPr>
          <t xml:space="preserve">Enter the kW contract capacity for GS-2 and GS-3 services.  </t>
        </r>
      </text>
    </comment>
    <comment ref="F15"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00000000-0006-0000-0000-000009000000}">
      <text>
        <r>
          <rPr>
            <b/>
            <sz val="8"/>
            <color indexed="81"/>
            <rFont val="Tahoma"/>
            <family val="2"/>
          </rPr>
          <t xml:space="preserve">GS-3 only - Enter the "Received" kWh (energy sent back to Ohio Power).
</t>
        </r>
      </text>
    </comment>
    <comment ref="A27"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8"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30"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5"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<sst xmlns="http://schemas.openxmlformats.org/spreadsheetml/2006/main" count="4964" uniqueCount="349">
  <si>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</si>
  <si>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</si>
  <si>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</si>
  <si>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</si>
  <si>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</si>
  <si>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</si>
  <si>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</si>
  <si>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</si>
  <si>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</si>
  <si>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</si>
  <si>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</si>
  <si>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</si>
  <si>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</si>
  <si>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</si>
  <si>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</si>
  <si>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</si>
  <si>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</si>
  <si>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</si>
  <si>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</si>
  <si>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</si>
  <si>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</si>
  <si>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</si>
  <si>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</si>
  <si>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</si>
  <si>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</si>
  <si>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</si>
  <si>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</si>
  <si>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</si>
  <si>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</si>
  <si>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</si>
  <si>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</si>
  <si>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</si>
  <si>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</si>
  <si>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</si>
  <si>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</si>
  <si>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</si>
  <si>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</si>
  <si>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</si>
  <si>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</si>
  <si>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</si>
  <si>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</si>
  <si>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</si>
  <si>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</si>
  <si>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</si>
  <si>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</si>
  <si>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</si>
  <si>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</si>
  <si>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</si>
  <si>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</si>
  <si>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</si>
  <si>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</si>
  <si>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</si>
  <si>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</si>
  <si>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</si>
  <si>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</si>
  <si>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</si>
  <si>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</si>
  <si>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</si>
  <si>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</si>
  <si>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</si>
  <si>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</si>
  <si>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</si>
  <si>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</si>
  <si>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</si>
  <si>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</si>
  <si>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</si>
  <si>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</si>
  <si>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</si>
  <si>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</si>
  <si>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</si>
  <si>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</si>
  <si>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</si>
  <si>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</si>
  <si>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</si>
  <si>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</si>
  <si>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</si>
  <si>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</si>
  <si>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</si>
  <si>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</si>
  <si>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</si>
  <si>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</si>
  <si>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</si>
  <si>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</si>
  <si>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</si>
  <si>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</si>
  <si>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</si>
  <si>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</si>
  <si>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</si>
  <si>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</si>
  <si>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</si>
  <si>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</si>
  <si>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</si>
  <si>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</si>
  <si>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</si>
  <si>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</si>
  <si>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</si>
  <si>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</si>
  <si>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</si>
  <si>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</si>
  <si>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</si>
  <si>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</si>
  <si>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</si>
  <si>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</si>
  <si>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</si>
  <si>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</si>
  <si>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</si>
  <si>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</si>
  <si>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</si>
  <si>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</si>
  <si>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</si>
  <si>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</si>
  <si>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</si>
  <si>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</si>
  <si>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</si>
  <si>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</si>
  <si>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</si>
  <si>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</si>
  <si>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</si>
  <si>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</si>
  <si>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</si>
  <si>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</si>
  <si>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</si>
  <si>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</si>
  <si>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</si>
  <si>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</si>
  <si>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</si>
  <si>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</si>
  <si>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</si>
  <si>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</si>
  <si>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</si>
  <si>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</si>
  <si>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</si>
  <si>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</si>
  <si>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</si>
  <si>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</si>
  <si>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</si>
  <si>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</si>
  <si>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</si>
  <si>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</si>
  <si>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</si>
  <si>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</si>
  <si>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</si>
  <si>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</si>
  <si>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</si>
  <si>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</si>
  <si>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</si>
  <si>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</si>
  <si>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</si>
  <si>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</si>
  <si>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</si>
  <si>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</si>
  <si>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</si>
  <si>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</si>
  <si>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</si>
  <si>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</si>
  <si>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</si>
  <si>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</si>
  <si>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</si>
  <si>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</si>
  <si>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</si>
  <si>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</si>
  <si>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</si>
  <si>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GS-2 TOD (On-Peak)</t>
  </si>
  <si>
    <t>GS-2 TOD (Off-Peak)</t>
  </si>
  <si>
    <t>Generation Capacity Rider (On-Peak)</t>
  </si>
  <si>
    <t>Gen Cap 1</t>
  </si>
  <si>
    <t>Gen Cap 2</t>
  </si>
  <si>
    <t>Gen Cap 3</t>
  </si>
  <si>
    <t>RLM (1)</t>
  </si>
  <si>
    <t>RLM (2)</t>
  </si>
  <si>
    <t>RLM (3)</t>
  </si>
  <si>
    <t>Summer</t>
  </si>
  <si>
    <t>Winter</t>
  </si>
  <si>
    <t>Generation Capacity Rider (1)</t>
  </si>
  <si>
    <t>Generation Capacity Rider (2)</t>
  </si>
  <si>
    <t>Generation Capacity Rider (3)</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</si>
  <si>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</si>
  <si>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</si>
  <si>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</si>
  <si>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</si>
  <si>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</si>
  <si>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</si>
  <si>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</si>
  <si>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</si>
  <si>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</si>
  <si>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</si>
  <si>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</si>
  <si>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</si>
  <si>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</si>
  <si>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</si>
  <si>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</si>
  <si>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</si>
  <si>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</si>
  <si>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</si>
  <si>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</si>
  <si>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</si>
  <si>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</si>
  <si>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</si>
  <si>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</si>
  <si>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</si>
  <si>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</si>
  <si>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</si>
  <si>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</si>
  <si>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</si>
  <si>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</si>
  <si>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</si>
  <si>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</si>
  <si>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</si>
  <si>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</si>
  <si>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</si>
  <si>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</si>
  <si>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</si>
  <si>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</si>
  <si>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</si>
  <si>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</si>
  <si>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</si>
  <si>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</si>
  <si>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</si>
  <si>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</si>
  <si>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</si>
  <si>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</si>
  <si>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</si>
  <si>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</si>
  <si>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</si>
  <si>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</si>
  <si>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</si>
  <si>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</si>
  <si>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</si>
  <si>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</si>
  <si>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</si>
  <si>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</si>
  <si>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</si>
  <si>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</si>
  <si>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</si>
  <si>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</si>
  <si>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</si>
  <si>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</si>
  <si>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</si>
  <si>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</si>
  <si>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</si>
  <si>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</si>
  <si>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</si>
  <si>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</si>
  <si>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</si>
  <si>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</si>
  <si>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</si>
  <si>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</si>
  <si>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</si>
  <si>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</si>
  <si>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</si>
  <si>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</si>
  <si>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</si>
  <si>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</si>
  <si>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</si>
  <si>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</si>
  <si>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</si>
  <si>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r>
      <t xml:space="preserve">RS </t>
    </r>
    <r>
      <rPr>
        <b/>
        <sz val="10"/>
        <rFont val="Arial"/>
        <family val="2"/>
      </rPr>
      <t>(CSP Rate Zone)</t>
    </r>
  </si>
  <si>
    <r>
      <t xml:space="preserve">General Service-Non Demand Metered </t>
    </r>
    <r>
      <rPr>
        <b/>
        <sz val="10"/>
        <rFont val="Arial"/>
        <family val="2"/>
      </rPr>
      <t>(CSP Rate Zone)</t>
    </r>
  </si>
  <si>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</si>
  <si>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</si>
  <si>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</si>
  <si>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</si>
  <si>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</si>
  <si>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</si>
  <si>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</si>
  <si>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</si>
  <si>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</si>
  <si>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</si>
  <si>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</si>
  <si>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</si>
  <si>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</si>
  <si>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</si>
  <si>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</si>
  <si>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</si>
  <si>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</si>
  <si>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</si>
  <si>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</si>
  <si>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</si>
  <si>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</si>
  <si>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 Secondary Open Access Distribution Service</t>
  </si>
  <si>
    <t>GS-1 Open Access Distribution Service</t>
  </si>
  <si>
    <t>GS Transmission Open Access Distribution Service</t>
  </si>
  <si>
    <t>Columbus Southern Rate Zone</t>
  </si>
  <si>
    <t>Received kWh</t>
  </si>
  <si>
    <t>Contract Capacity:</t>
  </si>
  <si>
    <t>Contract Minimum Demand:</t>
  </si>
  <si>
    <t>Available for general service to customers with maximum demands of 10 KW or greater. (Schedule Codes 315)</t>
  </si>
  <si>
    <t>GS Service - Fair</t>
  </si>
  <si>
    <t>County Fair SEC</t>
  </si>
  <si>
    <t>County Fair PRI</t>
  </si>
  <si>
    <t>Pilot Plug-In Electric Vehicle Service</t>
  </si>
  <si>
    <t>On-Peak Demand Charge</t>
  </si>
  <si>
    <t>Metered kW Usage:</t>
  </si>
  <si>
    <t>Reactive Hours:</t>
  </si>
  <si>
    <t>Peak kVA</t>
  </si>
  <si>
    <t>Allowable kVA:</t>
  </si>
  <si>
    <t>KVARh</t>
  </si>
  <si>
    <t>kVA</t>
  </si>
  <si>
    <t xml:space="preserve">Available for optional residential electric service through one meter to individual residential customers.  Requires the installation of demand metering facilities. (Schedule Codes: 810)  </t>
  </si>
  <si>
    <t>Available for general service to customers with maximum demands of 10 KW or greater. (Schedule Codes 770, 840, 842, 845)</t>
  </si>
  <si>
    <t>(Schedule Codes 774, 841, 843, 846, 861)</t>
  </si>
  <si>
    <t>(Schedule Codes 779, 790, 826, 827, 858, 853)</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</si>
  <si>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</si>
  <si>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</si>
  <si>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</si>
  <si>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</si>
  <si>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Smart City Rider - </t>
    </r>
    <r>
      <rPr>
        <sz val="9"/>
        <rFont val="Arial"/>
        <family val="2"/>
      </rPr>
      <t>This rider allows the Company to recover costs associated with Smart City technologies.</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</si>
  <si>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</si>
  <si>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</si>
  <si>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</si>
  <si>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</si>
  <si>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</si>
  <si>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</si>
  <si>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</si>
  <si>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</si>
  <si>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</si>
  <si>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</si>
  <si>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</si>
  <si>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</si>
  <si>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</si>
  <si>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</si>
  <si>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</si>
  <si>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</si>
  <si>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GS Primary Open Access Distribution Service</t>
  </si>
  <si>
    <t>gridSMART Rider (fixed)</t>
  </si>
  <si>
    <t>On-Peak Energy Charge</t>
  </si>
  <si>
    <t>Off-Peak Energy Charge</t>
  </si>
  <si>
    <t>Residential PEV (Sheet 271-1)</t>
  </si>
  <si>
    <t>Bus PEV - Sec</t>
  </si>
  <si>
    <t>Bus PEV - Pri</t>
  </si>
  <si>
    <t>Bus PEV - Trans Low</t>
  </si>
  <si>
    <t>Bus PEV - Trans High</t>
  </si>
  <si>
    <t>Bus PEV Sec</t>
  </si>
  <si>
    <t>Residential PEV</t>
  </si>
  <si>
    <t>Bus PEV Primary</t>
  </si>
  <si>
    <t>(Schedule Codes 340 and 800)</t>
  </si>
  <si>
    <t xml:space="preserve">                                                                                                                (Schedule Codes: 048 and 807)</t>
  </si>
  <si>
    <t>(Schedule Codes 342 and 802)</t>
  </si>
  <si>
    <t xml:space="preserve">          (Schedule Codes 344, 346, 804, and 806)</t>
  </si>
  <si>
    <t>Bus PEV Trans</t>
  </si>
  <si>
    <t>Available for residential electric service through one meter to individual residential customers. (Schedule Codes: 029, 039, 809, and 815)</t>
  </si>
  <si>
    <t>BUS-Sec</t>
  </si>
  <si>
    <t>BUS-Pri</t>
  </si>
  <si>
    <t>BUS-Tran</t>
  </si>
  <si>
    <t>Energy Efficiency Rider (kWh)</t>
  </si>
  <si>
    <t>Revised 8/28/2024</t>
  </si>
  <si>
    <t>Energy Efficiency and Peak Demand Reduction Cost Recovery Rider (kWh)</t>
  </si>
  <si>
    <t>Energy Efficiency Rider</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</si>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</sst>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_(&quot;$&quot;* #,##0.00000000_);_(&quot;$&quot;* \(#,##0.00000000\);_(&quot;$&quot;* &quot;-&quot;??_);_(@_)"/>
    <numFmt numFmtId="188" formatCode="m/d/yyyy;@"/>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602">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5" fontId="0" fillId="0" borderId="0" xfId="10" applyNumberFormat="1" applyFont="1" applyBorder="1" applyAlignment="1">
      <alignment horizontal="center"/>
    </xf>
    <xf numFmtId="175" fontId="2" fillId="0" borderId="0" xfId="10" applyNumberFormat="1" applyFont="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8"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73" fontId="0" fillId="0" borderId="1" xfId="10" applyNumberFormat="1" applyFont="1" applyBorder="1"/>
    <xf numFmtId="173" fontId="0" fillId="0" borderId="1" xfId="0" applyNumberFormat="1" applyBorder="1"/>
    <xf numFmtId="168" fontId="15" fillId="0" borderId="0" xfId="0" applyNumberFormat="1" applyFont="1" applyAlignment="1">
      <alignment horizontal="left"/>
    </xf>
    <xf numFmtId="0" fontId="15" fillId="4" borderId="0" xfId="0" applyFont="1" applyFill="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68" fontId="15" fillId="0" borderId="0" xfId="0" applyNumberFormat="1" applyFont="1" applyAlignment="1">
      <alignment horizontal="left"/>
    </xf>
    <xf numFmtId="0" fontId="3" fillId="0" borderId="1" xfId="0" applyFont="1" applyBorder="1" applyAlignment="1">
      <alignment horizontal="center"/>
    </xf>
    <xf numFmtId="0" fontId="0" fillId="0" borderId="0" xfId="0" applyBorder="1" applyAlignment="1">
      <alignment horizontal="center"/>
    </xf>
    <xf numFmtId="14" fontId="1" fillId="2" borderId="0" xfId="0" applyNumberFormat="1" applyFont="1" applyFill="1"/>
    <xf numFmtId="44" fontId="3" fillId="0" borderId="0" xfId="10" applyNumberFormat="1" applyFont="1" applyBorder="1"/>
    <xf numFmtId="0" fontId="1" fillId="0" borderId="0" xfId="0" applyFont="1" applyAlignment="1">
      <alignment horizontal="right"/>
    </xf>
    <xf numFmtId="176" fontId="0" fillId="0" borderId="0" xfId="0" quotePrefix="1" applyNumberFormat="1"/>
    <xf numFmtId="176" fontId="0" fillId="0" borderId="0" xfId="0" quotePrefix="1" applyNumberFormat="1" applyFill="1"/>
    <xf numFmtId="176" fontId="0" fillId="0" borderId="0" xfId="0" applyNumberFormat="1" applyFill="1"/>
    <xf numFmtId="3" fontId="0" fillId="0" borderId="0" xfId="0" applyNumberFormat="1" applyFill="1"/>
    <xf numFmtId="7" fontId="3" fillId="0" borderId="0" xfId="0" applyNumberFormat="1" applyFont="1" applyFill="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4" fillId="0" borderId="0" xfId="30" applyFont="1"/>
    <xf numFmtId="9" fontId="1" fillId="0" borderId="0" xfId="21" applyFont="1"/>
    <xf numFmtId="0" fontId="1" fillId="0" borderId="0" xfId="30" applyAlignment="1">
      <alignment horizontal="center"/>
    </xf>
    <xf numFmtId="0" fontId="1" fillId="0" borderId="0" xfId="30" applyFont="1"/>
    <xf numFmtId="44" fontId="1" fillId="0" borderId="0" xfId="30" applyNumberFormat="1" applyFont="1"/>
    <xf numFmtId="170" fontId="1" fillId="0" borderId="0" xfId="21" applyNumberFormat="1" applyFont="1"/>
    <xf numFmtId="0" fontId="16" fillId="0" borderId="0" xfId="30" applyFont="1"/>
    <xf numFmtId="174" fontId="1" fillId="0" borderId="0" xfId="10" applyNumberFormat="1" applyFont="1"/>
    <xf numFmtId="39" fontId="45" fillId="4" borderId="0" xfId="30" applyNumberFormat="1" applyFont="1" applyFill="1"/>
    <xf numFmtId="0" fontId="1" fillId="4" borderId="0" xfId="30" applyFill="1" applyBorder="1"/>
    <xf numFmtId="0" fontId="25" fillId="0" borderId="0" xfId="30" applyFont="1"/>
    <xf numFmtId="0" fontId="45" fillId="0" borderId="0" xfId="30" applyFont="1" applyAlignment="1">
      <alignment horizontal="left"/>
    </xf>
    <xf numFmtId="39" fontId="3" fillId="4" borderId="0" xfId="30" applyNumberFormat="1" applyFont="1" applyFill="1"/>
    <xf numFmtId="14" fontId="16" fillId="4" borderId="0" xfId="30" quotePrefix="1" applyNumberFormat="1" applyFont="1" applyFill="1" applyBorder="1" applyAlignment="1">
      <alignment horizontal="center"/>
    </xf>
    <xf numFmtId="0" fontId="3" fillId="0" borderId="11" xfId="30" applyFont="1" applyBorder="1"/>
    <xf numFmtId="3" fontId="16" fillId="0" borderId="0" xfId="30" applyNumberFormat="1" applyFont="1"/>
    <xf numFmtId="3" fontId="1" fillId="0" borderId="0" xfId="30" applyNumberFormat="1"/>
    <xf numFmtId="17" fontId="32" fillId="4" borderId="0" xfId="30" quotePrefix="1" applyNumberFormat="1" applyFont="1" applyFill="1" applyBorder="1" applyAlignment="1">
      <alignment horizontal="center"/>
    </xf>
    <xf numFmtId="44" fontId="12" fillId="4" borderId="0" xfId="30" applyNumberFormat="1" applyFont="1" applyFill="1" applyBorder="1" applyAlignment="1">
      <alignment horizontal="center"/>
    </xf>
    <xf numFmtId="0" fontId="32" fillId="4" borderId="0" xfId="30" applyFont="1" applyFill="1"/>
    <xf numFmtId="0" fontId="14" fillId="4" borderId="0" xfId="30" applyFont="1" applyFill="1" applyBorder="1" applyAlignment="1">
      <alignment horizontal="center"/>
    </xf>
    <xf numFmtId="3" fontId="32" fillId="4" borderId="0" xfId="30" applyNumberFormat="1" applyFont="1" applyFill="1" applyBorder="1"/>
    <xf numFmtId="3" fontId="14" fillId="4" borderId="0" xfId="30" applyNumberFormat="1" applyFont="1" applyFill="1"/>
    <xf numFmtId="0" fontId="14" fillId="4" borderId="0" xfId="30" applyFont="1" applyFill="1" applyBorder="1"/>
    <xf numFmtId="0" fontId="12" fillId="4" borderId="0" xfId="30" applyFont="1" applyFill="1" applyBorder="1"/>
    <xf numFmtId="0" fontId="1" fillId="4" borderId="0" xfId="10" applyNumberFormat="1" applyFont="1" applyFill="1" applyBorder="1"/>
    <xf numFmtId="0" fontId="16" fillId="4" borderId="0" xfId="30" applyFont="1" applyFill="1" applyBorder="1"/>
    <xf numFmtId="0" fontId="1" fillId="4" borderId="0" xfId="30" applyFill="1" applyBorder="1" applyAlignment="1">
      <alignment horizontal="center"/>
    </xf>
    <xf numFmtId="188" fontId="16" fillId="4" borderId="0" xfId="30" quotePrefix="1" applyNumberFormat="1" applyFont="1" applyFill="1" applyBorder="1" applyAlignment="1">
      <alignment horizontal="center"/>
    </xf>
    <xf numFmtId="0" fontId="16" fillId="4" borderId="0" xfId="30" applyFont="1" applyFill="1"/>
    <xf numFmtId="0" fontId="1" fillId="4" borderId="0" xfId="30" applyFill="1" applyAlignment="1">
      <alignment horizontal="center"/>
    </xf>
    <xf numFmtId="3" fontId="16" fillId="4" borderId="0" xfId="30" applyNumberFormat="1" applyFont="1" applyFill="1"/>
    <xf numFmtId="3" fontId="1" fillId="4" borderId="0" xfId="30" applyNumberFormat="1" applyFill="1"/>
    <xf numFmtId="0" fontId="1" fillId="4" borderId="0" xfId="30" applyFont="1" applyFill="1" applyBorder="1"/>
    <xf numFmtId="175" fontId="1" fillId="0" borderId="1" xfId="30" applyNumberFormat="1" applyFill="1" applyBorder="1" applyAlignment="1">
      <alignment horizontal="right"/>
    </xf>
    <xf numFmtId="0" fontId="1" fillId="4" borderId="0" xfId="30" applyFont="1" applyFill="1" applyAlignment="1">
      <alignment horizontal="center"/>
    </xf>
    <xf numFmtId="44" fontId="0" fillId="0" borderId="1" xfId="31" applyFont="1" applyFill="1" applyBorder="1"/>
    <xf numFmtId="175" fontId="0" fillId="0" borderId="1" xfId="31" applyNumberFormat="1" applyFont="1" applyFill="1" applyBorder="1"/>
    <xf numFmtId="165" fontId="1" fillId="0" borderId="1" xfId="30" applyNumberFormat="1" applyFill="1" applyBorder="1" applyAlignment="1">
      <alignment horizontal="right"/>
    </xf>
    <xf numFmtId="44" fontId="1" fillId="0" borderId="1" xfId="30" applyNumberFormat="1" applyFill="1" applyBorder="1" applyAlignment="1">
      <alignment horizontal="right"/>
    </xf>
    <xf numFmtId="3" fontId="16" fillId="4" borderId="0" xfId="30" applyNumberFormat="1" applyFont="1" applyFill="1" applyBorder="1"/>
    <xf numFmtId="0" fontId="1" fillId="0" borderId="1" xfId="30" applyFill="1" applyBorder="1" applyAlignment="1">
      <alignment horizontal="center"/>
    </xf>
    <xf numFmtId="176" fontId="1" fillId="0" borderId="0" xfId="30" applyNumberFormat="1"/>
    <xf numFmtId="0" fontId="15" fillId="0" borderId="11" xfId="30" applyFont="1" applyBorder="1"/>
    <xf numFmtId="0" fontId="12" fillId="0" borderId="11" xfId="30" applyFont="1" applyBorder="1"/>
    <xf numFmtId="0" fontId="6" fillId="0" borderId="11" xfId="30" applyFont="1" applyBorder="1"/>
    <xf numFmtId="0" fontId="17" fillId="0" borderId="0" xfId="30" applyFont="1"/>
    <xf numFmtId="3" fontId="3" fillId="0" borderId="0" xfId="30" applyNumberFormat="1" applyFont="1"/>
    <xf numFmtId="0" fontId="15" fillId="0" borderId="0" xfId="30" applyFont="1" applyBorder="1"/>
    <xf numFmtId="44" fontId="1" fillId="0" borderId="1" xfId="30" applyNumberFormat="1" applyBorder="1"/>
    <xf numFmtId="0" fontId="1" fillId="0" borderId="0" xfId="30" applyFont="1" applyAlignment="1">
      <alignment horizontal="center"/>
    </xf>
    <xf numFmtId="0" fontId="3" fillId="0" borderId="1" xfId="30" applyFont="1" applyFill="1" applyBorder="1" applyAlignment="1">
      <alignment horizontal="center"/>
    </xf>
    <xf numFmtId="0" fontId="1" fillId="0" borderId="0" xfId="30" applyBorder="1"/>
    <xf numFmtId="0" fontId="1" fillId="0" borderId="2" xfId="30" applyBorder="1" applyAlignment="1">
      <alignment horizontal="center"/>
    </xf>
    <xf numFmtId="0" fontId="1" fillId="0" borderId="8" xfId="30" applyBorder="1"/>
    <xf numFmtId="0" fontId="14" fillId="0" borderId="8" xfId="30" applyFont="1" applyBorder="1"/>
    <xf numFmtId="0" fontId="15" fillId="0" borderId="0" xfId="30" applyFont="1"/>
    <xf numFmtId="0" fontId="12" fillId="0" borderId="0" xfId="30" applyFont="1"/>
    <xf numFmtId="0" fontId="6" fillId="0" borderId="0" xfId="30" applyFont="1"/>
    <xf numFmtId="184" fontId="1" fillId="0" borderId="0" xfId="30" applyNumberFormat="1"/>
    <xf numFmtId="170" fontId="8" fillId="0" borderId="0" xfId="30" applyNumberFormat="1" applyFont="1"/>
    <xf numFmtId="0" fontId="6" fillId="0" borderId="0" xfId="30" applyFont="1" applyBorder="1"/>
    <xf numFmtId="0" fontId="1" fillId="0" borderId="0" xfId="30" applyBorder="1" applyAlignment="1">
      <alignment horizontal="right"/>
    </xf>
    <xf numFmtId="0" fontId="1" fillId="0" borderId="0" xfId="30" applyAlignment="1">
      <alignment horizontal="right"/>
    </xf>
    <xf numFmtId="0" fontId="13" fillId="0" borderId="0" xfId="30" applyFont="1"/>
    <xf numFmtId="0" fontId="12" fillId="0" borderId="0" xfId="30" applyFont="1" applyAlignment="1">
      <alignment horizontal="left"/>
    </xf>
    <xf numFmtId="14" fontId="1" fillId="0" borderId="0" xfId="30" applyNumberFormat="1"/>
    <xf numFmtId="168" fontId="15" fillId="0" borderId="0" xfId="30" applyNumberFormat="1" applyFont="1" applyAlignment="1">
      <alignment horizontal="left"/>
    </xf>
    <xf numFmtId="44" fontId="18" fillId="0" borderId="0" xfId="30" applyNumberFormat="1" applyFont="1" applyAlignment="1">
      <alignment horizontal="center"/>
    </xf>
    <xf numFmtId="176" fontId="8" fillId="0" borderId="0" xfId="0" quotePrefix="1" applyNumberFormat="1" applyFont="1" applyFill="1"/>
    <xf numFmtId="0" fontId="3" fillId="0" borderId="1" xfId="30" applyFont="1" applyBorder="1" applyAlignment="1">
      <alignment horizontal="center"/>
    </xf>
    <xf numFmtId="0" fontId="14" fillId="0" borderId="11" xfId="30" applyFont="1" applyBorder="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9" fillId="0" borderId="0" xfId="0" applyFont="1" applyFill="1" applyAlignment="1">
      <alignment horizontal="left"/>
    </xf>
    <xf numFmtId="3" fontId="47" fillId="0" borderId="1" xfId="0" applyNumberFormat="1" applyFont="1" applyBorder="1" applyProtection="1">
      <protection locked="0"/>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165" fontId="2" fillId="0" borderId="0" xfId="0" applyNumberFormat="1" applyFont="1" applyBorder="1" applyAlignment="1">
      <alignment horizontal="center"/>
    </xf>
    <xf numFmtId="171" fontId="2" fillId="0" borderId="0" xfId="21" applyNumberFormat="1" applyFont="1" applyBorder="1" applyAlignment="1">
      <alignment horizontal="center"/>
    </xf>
    <xf numFmtId="0" fontId="43" fillId="0" borderId="0" xfId="0" applyFont="1" applyBorder="1" applyAlignment="1">
      <alignment horizontal="center"/>
    </xf>
    <xf numFmtId="0" fontId="43" fillId="0" borderId="0" xfId="0" applyFont="1" applyFill="1" applyBorder="1" applyAlignment="1">
      <alignment horizontal="center"/>
    </xf>
    <xf numFmtId="14" fontId="0" fillId="0" borderId="0" xfId="0" applyNumberFormat="1" applyBorder="1"/>
    <xf numFmtId="0" fontId="0" fillId="0" borderId="0" xfId="0" applyFill="1" applyBorder="1" applyAlignment="1">
      <alignment horizontal="center" vertical="center"/>
    </xf>
    <xf numFmtId="175" fontId="0" fillId="0" borderId="0" xfId="0" applyNumberFormat="1" applyFill="1" applyBorder="1" applyAlignment="1">
      <alignment horizontal="center" vertical="center"/>
    </xf>
    <xf numFmtId="14" fontId="0" fillId="0" borderId="0" xfId="0" applyNumberFormat="1" applyFill="1" applyBorder="1" applyAlignment="1">
      <alignment horizontal="center" vertical="center"/>
    </xf>
    <xf numFmtId="0" fontId="2" fillId="0" borderId="0" xfId="0" applyFont="1" applyBorder="1"/>
    <xf numFmtId="44" fontId="1" fillId="0" borderId="0" xfId="10" applyNumberFormat="1" applyFill="1" applyBorder="1"/>
    <xf numFmtId="0" fontId="9" fillId="0" borderId="0" xfId="0" applyFont="1" applyBorder="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187" fontId="6" fillId="0" borderId="0" xfId="10" applyNumberFormat="1" applyFont="1" applyBorder="1" applyAlignment="1">
      <alignment horizontal="center"/>
    </xf>
    <xf numFmtId="165" fontId="0" fillId="0" borderId="0" xfId="21" applyNumberFormat="1" applyFont="1" applyBorder="1"/>
    <xf numFmtId="44" fontId="0" fillId="0" borderId="0" xfId="10" applyFont="1" applyBorder="1"/>
    <xf numFmtId="7" fontId="2" fillId="0" borderId="0" xfId="0" applyNumberFormat="1" applyFont="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165" fontId="1" fillId="0" borderId="0" xfId="21" applyNumberFormat="1" applyFont="1" applyFill="1" applyBorder="1"/>
    <xf numFmtId="14" fontId="1" fillId="0" borderId="0" xfId="0" applyNumberFormat="1" applyFont="1" applyFill="1" applyBorder="1"/>
    <xf numFmtId="165" fontId="42" fillId="0" borderId="0" xfId="22" applyNumberFormat="1" applyFill="1" applyBorder="1"/>
    <xf numFmtId="175" fontId="1" fillId="0" borderId="0" xfId="31" applyNumberFormat="1" applyFill="1" applyBorder="1"/>
    <xf numFmtId="175" fontId="1" fillId="0" borderId="0" xfId="31" applyNumberFormat="1" applyFont="1" applyFill="1" applyBorder="1"/>
    <xf numFmtId="175" fontId="42" fillId="0" borderId="0" xfId="10" applyNumberFormat="1" applyFont="1" applyFill="1" applyBorder="1"/>
    <xf numFmtId="175" fontId="1" fillId="0" borderId="1" xfId="10" applyNumberFormat="1" applyFont="1" applyFill="1" applyBorder="1"/>
    <xf numFmtId="168" fontId="15" fillId="0" borderId="0" xfId="0" applyNumberFormat="1" applyFont="1" applyAlignment="1">
      <alignment horizontal="left"/>
    </xf>
    <xf numFmtId="0" fontId="15" fillId="4" borderId="0" xfId="0" applyFont="1" applyFill="1" applyBorder="1"/>
    <xf numFmtId="0" fontId="1" fillId="4" borderId="20" xfId="0" applyFont="1" applyFill="1" applyBorder="1"/>
    <xf numFmtId="3" fontId="0" fillId="4" borderId="0" xfId="0" applyNumberFormat="1" applyFill="1" applyBorder="1"/>
    <xf numFmtId="44" fontId="1" fillId="0" borderId="1" xfId="10" applyFont="1" applyBorder="1" applyAlignment="1">
      <alignment horizontal="center"/>
    </xf>
    <xf numFmtId="175" fontId="1" fillId="0" borderId="1" xfId="10" applyNumberFormat="1" applyFont="1" applyBorder="1" applyAlignment="1">
      <alignment horizontal="center"/>
    </xf>
    <xf numFmtId="14" fontId="0" fillId="0" borderId="1" xfId="0" applyNumberFormat="1" applyBorder="1"/>
    <xf numFmtId="44" fontId="1" fillId="0" borderId="1" xfId="10" applyFont="1" applyFill="1" applyBorder="1" applyAlignment="1">
      <alignment horizontal="center"/>
    </xf>
    <xf numFmtId="175" fontId="1" fillId="0" borderId="1" xfId="10" applyNumberFormat="1" applyFont="1" applyFill="1" applyBorder="1" applyAlignment="1">
      <alignment horizontal="center"/>
    </xf>
    <xf numFmtId="168" fontId="15" fillId="0" borderId="0" xfId="0" applyNumberFormat="1" applyFont="1" applyAlignment="1">
      <alignment horizontal="left"/>
    </xf>
    <xf numFmtId="0" fontId="15" fillId="4" borderId="0" xfId="0" applyFont="1" applyFill="1" applyBorder="1"/>
    <xf numFmtId="174" fontId="0" fillId="0" borderId="0" xfId="10" applyNumberFormat="1" applyFont="1" applyFill="1" applyBorder="1"/>
    <xf numFmtId="3" fontId="0" fillId="6" borderId="0" xfId="0" applyNumberFormat="1" applyFill="1" applyBorder="1"/>
    <xf numFmtId="7" fontId="3" fillId="6" borderId="0" xfId="10" applyNumberFormat="1" applyFont="1" applyFill="1" applyBorder="1"/>
    <xf numFmtId="44" fontId="18" fillId="6" borderId="0" xfId="0" applyNumberFormat="1" applyFont="1" applyFill="1" applyAlignment="1">
      <alignment horizontal="center"/>
    </xf>
    <xf numFmtId="0" fontId="0" fillId="6" borderId="0" xfId="0" applyFill="1"/>
    <xf numFmtId="168" fontId="15" fillId="6" borderId="0" xfId="0" applyNumberFormat="1" applyFont="1" applyFill="1" applyAlignment="1">
      <alignment horizontal="left"/>
    </xf>
    <xf numFmtId="0" fontId="2" fillId="6" borderId="0" xfId="0" applyFont="1" applyFill="1" applyBorder="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3" fillId="6" borderId="11" xfId="0" applyFont="1" applyFill="1" applyBorder="1"/>
    <xf numFmtId="0" fontId="3" fillId="6" borderId="11" xfId="0" applyFont="1" applyFill="1" applyBorder="1" applyAlignment="1">
      <alignment horizontal="center"/>
    </xf>
    <xf numFmtId="0" fontId="14" fillId="6" borderId="8" xfId="0" applyFont="1" applyFill="1" applyBorder="1"/>
    <xf numFmtId="0" fontId="0" fillId="6" borderId="8" xfId="0" applyFill="1" applyBorder="1"/>
    <xf numFmtId="0" fontId="15" fillId="6" borderId="0" xfId="0" applyFont="1" applyFill="1"/>
    <xf numFmtId="3" fontId="8" fillId="6" borderId="0" xfId="0" applyNumberFormat="1" applyFont="1" applyFill="1"/>
    <xf numFmtId="0" fontId="6" fillId="6" borderId="0" xfId="0" applyFont="1" applyFill="1"/>
    <xf numFmtId="0" fontId="48" fillId="6" borderId="0" xfId="0" applyFont="1" applyFill="1"/>
    <xf numFmtId="44" fontId="8" fillId="6" borderId="0" xfId="10" applyNumberFormat="1" applyFont="1" applyFill="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44" fontId="0" fillId="6" borderId="1" xfId="10" applyNumberFormat="1" applyFont="1" applyFill="1" applyBorder="1"/>
    <xf numFmtId="44" fontId="0" fillId="6" borderId="1" xfId="0" applyNumberFormat="1" applyFill="1" applyBorder="1"/>
    <xf numFmtId="44" fontId="0" fillId="6" borderId="1" xfId="10" applyFont="1" applyFill="1" applyBorder="1"/>
    <xf numFmtId="14" fontId="16" fillId="6" borderId="0" xfId="0" quotePrefix="1" applyNumberFormat="1" applyFont="1" applyFill="1" applyBorder="1" applyAlignment="1">
      <alignment horizontal="center"/>
    </xf>
    <xf numFmtId="0" fontId="2" fillId="6" borderId="0" xfId="0" applyFont="1" applyFill="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0" fillId="6" borderId="1" xfId="10" applyNumberFormat="1" applyFont="1" applyFill="1" applyBorder="1"/>
    <xf numFmtId="0" fontId="16" fillId="6" borderId="0" xfId="0" applyFont="1" applyFill="1"/>
    <xf numFmtId="0" fontId="3" fillId="6" borderId="0" xfId="0" applyFont="1" applyFill="1"/>
    <xf numFmtId="3" fontId="3" fillId="6" borderId="0" xfId="0" applyNumberFormat="1" applyFont="1" applyFill="1"/>
    <xf numFmtId="0" fontId="17" fillId="6" borderId="0" xfId="0" applyFont="1" applyFill="1"/>
    <xf numFmtId="44" fontId="3" fillId="6" borderId="0" xfId="1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14" fillId="6" borderId="0" xfId="0" applyFont="1" applyFill="1" applyBorder="1"/>
    <xf numFmtId="0" fontId="3" fillId="6" borderId="0" xfId="0" applyFont="1" applyFill="1" applyBorder="1"/>
    <xf numFmtId="3" fontId="3" fillId="6" borderId="0" xfId="0" applyNumberFormat="1" applyFont="1" applyFill="1" applyBorder="1"/>
    <xf numFmtId="0" fontId="0" fillId="6" borderId="0" xfId="0" applyNumberFormat="1" applyFill="1" applyBorder="1" applyAlignment="1">
      <alignment horizontal="center"/>
    </xf>
    <xf numFmtId="0" fontId="0" fillId="6" borderId="0" xfId="0" applyNumberFormat="1" applyFill="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77" fontId="1" fillId="6" borderId="1" xfId="10" applyNumberForma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44" fontId="0" fillId="6" borderId="1" xfId="0" applyNumberFormat="1" applyFill="1" applyBorder="1" applyAlignment="1">
      <alignment horizontal="right"/>
    </xf>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0" fontId="0" fillId="6" borderId="0" xfId="0" applyFill="1" applyBorder="1" applyAlignment="1">
      <alignment horizontal="center"/>
    </xf>
    <xf numFmtId="7" fontId="0" fillId="6" borderId="1" xfId="0" applyNumberFormat="1" applyFill="1" applyBorder="1" applyAlignment="1">
      <alignment horizontal="right"/>
    </xf>
    <xf numFmtId="7" fontId="1" fillId="6" borderId="1" xfId="10" applyNumberFormat="1" applyFill="1" applyBorder="1"/>
    <xf numFmtId="175" fontId="1" fillId="6" borderId="1" xfId="10" applyNumberFormat="1" applyFill="1" applyBorder="1"/>
    <xf numFmtId="175" fontId="0" fillId="6" borderId="1" xfId="10" applyNumberFormat="1" applyFont="1" applyFill="1" applyBorder="1" applyAlignment="1">
      <alignment horizontal="right"/>
    </xf>
    <xf numFmtId="175" fontId="0" fillId="6" borderId="1" xfId="12" applyNumberFormat="1" applyFont="1" applyFill="1" applyBorder="1"/>
    <xf numFmtId="44" fontId="0" fillId="6" borderId="1" xfId="12" applyFont="1" applyFill="1" applyBorder="1"/>
    <xf numFmtId="188"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175" fontId="1" fillId="6" borderId="0" xfId="10" applyNumberFormat="1" applyFill="1" applyBorder="1"/>
    <xf numFmtId="17" fontId="16" fillId="6" borderId="0" xfId="0" quotePrefix="1" applyNumberFormat="1" applyFont="1" applyFill="1" applyBorder="1" applyAlignment="1">
      <alignment horizontal="center"/>
    </xf>
    <xf numFmtId="0" fontId="14" fillId="6" borderId="11" xfId="0" applyFont="1" applyFill="1" applyBorder="1"/>
    <xf numFmtId="44" fontId="14" fillId="6" borderId="11" xfId="0" applyNumberFormat="1" applyFont="1" applyFill="1" applyBorder="1" applyAlignment="1">
      <alignment horizontal="center"/>
    </xf>
    <xf numFmtId="44" fontId="14" fillId="6" borderId="11" xfId="10" applyNumberFormat="1" applyFont="1" applyFill="1" applyBorder="1"/>
    <xf numFmtId="44" fontId="1" fillId="6" borderId="0" xfId="10" applyFill="1" applyBorder="1"/>
    <xf numFmtId="44" fontId="14" fillId="6" borderId="0" xfId="10" applyFont="1" applyFill="1" applyBorder="1"/>
    <xf numFmtId="39" fontId="3" fillId="6" borderId="0" xfId="0" applyNumberFormat="1" applyFont="1" applyFill="1"/>
    <xf numFmtId="170" fontId="3" fillId="6" borderId="0" xfId="21" applyNumberFormat="1" applyFont="1" applyFill="1"/>
    <xf numFmtId="0" fontId="45" fillId="6" borderId="0" xfId="0" applyFont="1" applyFill="1" applyAlignment="1">
      <alignment horizontal="left"/>
    </xf>
    <xf numFmtId="39" fontId="45" fillId="6" borderId="0" xfId="0" applyNumberFormat="1" applyFont="1" applyFill="1"/>
    <xf numFmtId="17" fontId="21" fillId="2" borderId="11" xfId="0" applyNumberFormat="1" applyFont="1" applyFill="1" applyBorder="1" applyAlignment="1"/>
    <xf numFmtId="17" fontId="21" fillId="2" borderId="11" xfId="0" applyNumberFormat="1" applyFont="1" applyFill="1" applyBorder="1" applyAlignment="1">
      <alignment horizontal="center"/>
    </xf>
    <xf numFmtId="0" fontId="6" fillId="2" borderId="0" xfId="0" applyFont="1" applyFill="1" applyBorder="1"/>
    <xf numFmtId="0" fontId="0" fillId="6" borderId="0" xfId="0" applyFill="1" applyAlignment="1">
      <alignment horizontal="right"/>
    </xf>
    <xf numFmtId="183" fontId="0" fillId="6" borderId="0" xfId="0" applyNumberFormat="1" applyFill="1" applyBorder="1"/>
    <xf numFmtId="165" fontId="1" fillId="6" borderId="0" xfId="21" applyNumberFormat="1" applyFill="1" applyBorder="1"/>
    <xf numFmtId="0" fontId="16" fillId="6" borderId="0" xfId="0" applyFont="1" applyFill="1" applyBorder="1"/>
    <xf numFmtId="0" fontId="2" fillId="6" borderId="0" xfId="10" applyNumberFormat="1" applyFont="1" applyFill="1" applyBorder="1"/>
    <xf numFmtId="175" fontId="1" fillId="6" borderId="0" xfId="10" applyNumberFormat="1" applyFont="1" applyFill="1" applyBorder="1"/>
    <xf numFmtId="44" fontId="3" fillId="6" borderId="0" xfId="10" applyFont="1" applyFill="1" applyBorder="1"/>
    <xf numFmtId="175" fontId="2" fillId="0" borderId="0" xfId="10" applyNumberFormat="1" applyFont="1" applyFill="1" applyBorder="1" applyAlignment="1">
      <alignment horizontal="center"/>
    </xf>
    <xf numFmtId="44" fontId="2" fillId="0" borderId="0" xfId="10" applyNumberFormat="1" applyFont="1" applyFill="1" applyBorder="1" applyAlignment="1">
      <alignment horizontal="center" vertic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75" fontId="2"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65" fontId="2" fillId="0" borderId="1" xfId="21"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4" xfId="0" applyFont="1" applyFill="1" applyBorder="1" applyAlignment="1" applyProtection="1">
      <alignment horizontal="left"/>
      <protection locked="0"/>
    </xf>
    <xf numFmtId="0" fontId="6" fillId="0" borderId="13"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14" fillId="0" borderId="11" xfId="0" applyFont="1" applyBorder="1"/>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0" fillId="0" borderId="0" xfId="0" applyFont="1" applyAlignment="1">
      <alignment horizontal="center"/>
    </xf>
    <xf numFmtId="0" fontId="11" fillId="0" borderId="0" xfId="0" applyFont="1" applyAlignment="1">
      <alignment horizontal="center"/>
    </xf>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35" fillId="6" borderId="0" xfId="0" applyFont="1" applyFill="1" applyBorder="1" applyAlignment="1">
      <alignment horizontal="center"/>
    </xf>
    <xf numFmtId="0" fontId="14" fillId="6" borderId="11" xfId="0" applyFont="1" applyFill="1" applyBorder="1"/>
    <xf numFmtId="0" fontId="10" fillId="4" borderId="0" xfId="30" applyFont="1" applyFill="1" applyAlignment="1">
      <alignment horizontal="center"/>
    </xf>
    <xf numFmtId="0" fontId="35" fillId="0" borderId="0" xfId="30" applyFont="1" applyBorder="1" applyAlignment="1">
      <alignment horizontal="center"/>
    </xf>
    <xf numFmtId="0" fontId="8" fillId="0" borderId="0" xfId="30" applyFont="1" applyAlignment="1">
      <alignment vertical="center" wrapText="1"/>
    </xf>
    <xf numFmtId="0" fontId="15" fillId="4" borderId="0" xfId="30" applyFont="1" applyFill="1" applyBorder="1"/>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10" fillId="0" borderId="0" xfId="30" applyFont="1" applyAlignment="1">
      <alignment horizontal="center"/>
    </xf>
    <xf numFmtId="0" fontId="11" fillId="0" borderId="0" xfId="30" applyFont="1" applyAlignment="1">
      <alignment horizontal="center"/>
    </xf>
    <xf numFmtId="44" fontId="29" fillId="0" borderId="0" xfId="30" applyNumberFormat="1" applyFont="1" applyAlignment="1">
      <alignment horizontal="center"/>
    </xf>
    <xf numFmtId="0" fontId="3" fillId="0" borderId="1" xfId="30" applyFont="1" applyBorder="1" applyAlignment="1">
      <alignment horizontal="center"/>
    </xf>
    <xf numFmtId="0" fontId="14" fillId="0" borderId="11" xfId="30" applyFont="1" applyBorder="1"/>
    <xf numFmtId="0" fontId="2" fillId="0" borderId="0" xfId="0" applyFont="1" applyBorder="1" applyAlignment="1">
      <alignment horizontal="center"/>
    </xf>
    <xf numFmtId="0" fontId="0" fillId="0" borderId="0" xfId="0"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4"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5"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7"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CheckBox" checked="Checked" fmlaLink="E4" lockText="1" noThreeD="1"/>
</file>

<file path=xl/ctrlProps/ctrlProp574.xml><?xml version="1.0" encoding="utf-8"?>
<formControlPr xmlns="http://schemas.microsoft.com/office/spreadsheetml/2009/9/main" objectType="CheckBox" checked="Checked" fmlaLink="E5" lockText="1" noThreeD="1"/>
</file>

<file path=xl/ctrlProps/ctrlProp575.xml><?xml version="1.0" encoding="utf-8"?>
<formControlPr xmlns="http://schemas.microsoft.com/office/spreadsheetml/2009/9/main" objectType="CheckBox" checked="Checked" fmlaLink="E7" lockText="1" noThreeD="1"/>
</file>

<file path=xl/ctrlProps/ctrlProp576.xml><?xml version="1.0" encoding="utf-8"?>
<formControlPr xmlns="http://schemas.microsoft.com/office/spreadsheetml/2009/9/main" objectType="CheckBox" checked="Checked" fmlaLink="E8" lockText="1" noThreeD="1"/>
</file>

<file path=xl/ctrlProps/ctrlProp577.xml><?xml version="1.0" encoding="utf-8"?>
<formControlPr xmlns="http://schemas.microsoft.com/office/spreadsheetml/2009/9/main" objectType="CheckBox" checked="Checked" fmlaLink="E11" lockText="1" noThreeD="1"/>
</file>

<file path=xl/ctrlProps/ctrlProp578.xml><?xml version="1.0" encoding="utf-8"?>
<formControlPr xmlns="http://schemas.microsoft.com/office/spreadsheetml/2009/9/main" objectType="CheckBox" checked="Checked" fmlaLink="E12" lockText="1" noThreeD="1"/>
</file>

<file path=xl/ctrlProps/ctrlProp579.xml><?xml version="1.0" encoding="utf-8"?>
<formControlPr xmlns="http://schemas.microsoft.com/office/spreadsheetml/2009/9/main" objectType="CheckBox" checked="Checked" fmlaLink="E13"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4" lockText="1" noThreeD="1"/>
</file>

<file path=xl/ctrlProps/ctrlProp581.xml><?xml version="1.0" encoding="utf-8"?>
<formControlPr xmlns="http://schemas.microsoft.com/office/spreadsheetml/2009/9/main" objectType="CheckBox" checked="Checked" fmlaLink="E15" lockText="1" noThreeD="1"/>
</file>

<file path=xl/ctrlProps/ctrlProp582.xml><?xml version="1.0" encoding="utf-8"?>
<formControlPr xmlns="http://schemas.microsoft.com/office/spreadsheetml/2009/9/main" objectType="CheckBox" checked="Checked" fmlaLink="E16" lockText="1" noThreeD="1"/>
</file>

<file path=xl/ctrlProps/ctrlProp583.xml><?xml version="1.0" encoding="utf-8"?>
<formControlPr xmlns="http://schemas.microsoft.com/office/spreadsheetml/2009/9/main" objectType="CheckBox" checked="Checked" fmlaLink="E17" lockText="1" noThreeD="1"/>
</file>

<file path=xl/ctrlProps/ctrlProp584.xml><?xml version="1.0" encoding="utf-8"?>
<formControlPr xmlns="http://schemas.microsoft.com/office/spreadsheetml/2009/9/main" objectType="CheckBox" checked="Checked" fmlaLink="E18" lockText="1" noThreeD="1"/>
</file>

<file path=xl/ctrlProps/ctrlProp585.xml><?xml version="1.0" encoding="utf-8"?>
<formControlPr xmlns="http://schemas.microsoft.com/office/spreadsheetml/2009/9/main" objectType="CheckBox" checked="Checked" fmlaLink="E19" lockText="1" noThreeD="1"/>
</file>

<file path=xl/ctrlProps/ctrlProp586.xml><?xml version="1.0" encoding="utf-8"?>
<formControlPr xmlns="http://schemas.microsoft.com/office/spreadsheetml/2009/9/main" objectType="CheckBox" checked="Checked" fmlaLink="E20" lockText="1" noThreeD="1"/>
</file>

<file path=xl/ctrlProps/ctrlProp587.xml><?xml version="1.0" encoding="utf-8"?>
<formControlPr xmlns="http://schemas.microsoft.com/office/spreadsheetml/2009/9/main" objectType="CheckBox" checked="Checked" fmlaLink="E21" lockText="1" noThreeD="1"/>
</file>

<file path=xl/ctrlProps/ctrlProp588.xml><?xml version="1.0" encoding="utf-8"?>
<formControlPr xmlns="http://schemas.microsoft.com/office/spreadsheetml/2009/9/main" objectType="CheckBox" checked="Checked" fmlaLink="E22" lockText="1" noThreeD="1"/>
</file>

<file path=xl/ctrlProps/ctrlProp589.xml><?xml version="1.0" encoding="utf-8"?>
<formControlPr xmlns="http://schemas.microsoft.com/office/spreadsheetml/2009/9/main" objectType="CheckBox" checked="Checked" fmlaLink="E23"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4" lockText="1" noThreeD="1"/>
</file>

<file path=xl/ctrlProps/ctrlProp591.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A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A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A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A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A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A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B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B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B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B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77</xdr:row>
          <xdr:rowOff>9525</xdr:rowOff>
        </xdr:from>
        <xdr:to>
          <xdr:col>14</xdr:col>
          <xdr:colOff>723900</xdr:colOff>
          <xdr:row>78</xdr:row>
          <xdr:rowOff>66675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B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0C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0C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0C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0C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0C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0C00-000006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D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D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D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D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D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D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D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D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D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D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D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D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D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D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D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D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D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D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D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D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D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D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D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D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D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D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D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D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D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D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D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D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D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D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D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D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D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D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D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D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D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D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D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D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D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D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D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D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D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D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D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D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D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D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D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D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D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D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E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E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E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E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E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E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E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E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E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E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E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E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E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E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E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E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E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E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E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E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E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E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E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E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E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E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E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E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E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E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E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E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E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E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E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E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E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E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E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E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E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E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E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E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E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E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E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E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E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E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E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E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E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E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E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E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E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E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0F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0F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0F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0F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0F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0F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000-000001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000-000002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000-000003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000-000004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000-000005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000-000006D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100-000001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100-000002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100-000003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100-000004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100-000005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100-000006E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58721" name="Button 1" hidden="1">
              <a:extLst>
                <a:ext uri="{63B3BB69-23CF-44E3-9099-C40C66FF867C}">
                  <a14:compatExt spid="_x0000_s158721"/>
                </a:ext>
                <a:ext uri="{FF2B5EF4-FFF2-40B4-BE49-F238E27FC236}">
                  <a16:creationId xmlns:a16="http://schemas.microsoft.com/office/drawing/2014/main" id="{00000000-0008-0000-1200-00000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104775</xdr:rowOff>
        </xdr:to>
        <xdr:sp macro="" textlink="">
          <xdr:nvSpPr>
            <xdr:cNvPr id="158722" name="Button 2" hidden="1">
              <a:extLst>
                <a:ext uri="{63B3BB69-23CF-44E3-9099-C40C66FF867C}">
                  <a14:compatExt spid="_x0000_s158722"/>
                </a:ext>
                <a:ext uri="{FF2B5EF4-FFF2-40B4-BE49-F238E27FC236}">
                  <a16:creationId xmlns:a16="http://schemas.microsoft.com/office/drawing/2014/main" id="{00000000-0008-0000-1200-00000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3" name="Button 3" hidden="1">
              <a:extLst>
                <a:ext uri="{63B3BB69-23CF-44E3-9099-C40C66FF867C}">
                  <a14:compatExt spid="_x0000_s158723"/>
                </a:ext>
                <a:ext uri="{FF2B5EF4-FFF2-40B4-BE49-F238E27FC236}">
                  <a16:creationId xmlns:a16="http://schemas.microsoft.com/office/drawing/2014/main" id="{00000000-0008-0000-1200-00000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4" name="Button 4" hidden="1">
              <a:extLst>
                <a:ext uri="{63B3BB69-23CF-44E3-9099-C40C66FF867C}">
                  <a14:compatExt spid="_x0000_s158724"/>
                </a:ext>
                <a:ext uri="{FF2B5EF4-FFF2-40B4-BE49-F238E27FC236}">
                  <a16:creationId xmlns:a16="http://schemas.microsoft.com/office/drawing/2014/main" id="{00000000-0008-0000-1200-00000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5" name="Button 5" hidden="1">
              <a:extLst>
                <a:ext uri="{63B3BB69-23CF-44E3-9099-C40C66FF867C}">
                  <a14:compatExt spid="_x0000_s158725"/>
                </a:ext>
                <a:ext uri="{FF2B5EF4-FFF2-40B4-BE49-F238E27FC236}">
                  <a16:creationId xmlns:a16="http://schemas.microsoft.com/office/drawing/2014/main" id="{00000000-0008-0000-1200-00000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58726" name="Button 6" hidden="1">
              <a:extLst>
                <a:ext uri="{63B3BB69-23CF-44E3-9099-C40C66FF867C}">
                  <a14:compatExt spid="_x0000_s158726"/>
                </a:ext>
                <a:ext uri="{FF2B5EF4-FFF2-40B4-BE49-F238E27FC236}">
                  <a16:creationId xmlns:a16="http://schemas.microsoft.com/office/drawing/2014/main" id="{00000000-0008-0000-1200-00000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27" name="Button 7" hidden="1">
              <a:extLst>
                <a:ext uri="{63B3BB69-23CF-44E3-9099-C40C66FF867C}">
                  <a14:compatExt spid="_x0000_s158727"/>
                </a:ext>
                <a:ext uri="{FF2B5EF4-FFF2-40B4-BE49-F238E27FC236}">
                  <a16:creationId xmlns:a16="http://schemas.microsoft.com/office/drawing/2014/main" id="{00000000-0008-0000-1200-00000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28" name="Button 8" hidden="1">
              <a:extLst>
                <a:ext uri="{63B3BB69-23CF-44E3-9099-C40C66FF867C}">
                  <a14:compatExt spid="_x0000_s158728"/>
                </a:ext>
                <a:ext uri="{FF2B5EF4-FFF2-40B4-BE49-F238E27FC236}">
                  <a16:creationId xmlns:a16="http://schemas.microsoft.com/office/drawing/2014/main" id="{00000000-0008-0000-1200-00000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29" name="Button 9" hidden="1">
              <a:extLst>
                <a:ext uri="{63B3BB69-23CF-44E3-9099-C40C66FF867C}">
                  <a14:compatExt spid="_x0000_s158729"/>
                </a:ext>
                <a:ext uri="{FF2B5EF4-FFF2-40B4-BE49-F238E27FC236}">
                  <a16:creationId xmlns:a16="http://schemas.microsoft.com/office/drawing/2014/main" id="{00000000-0008-0000-1200-00000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58730" name="Button 10" hidden="1">
              <a:extLst>
                <a:ext uri="{63B3BB69-23CF-44E3-9099-C40C66FF867C}">
                  <a14:compatExt spid="_x0000_s158730"/>
                </a:ext>
                <a:ext uri="{FF2B5EF4-FFF2-40B4-BE49-F238E27FC236}">
                  <a16:creationId xmlns:a16="http://schemas.microsoft.com/office/drawing/2014/main" id="{00000000-0008-0000-1200-00000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1" name="Button 11" hidden="1">
              <a:extLst>
                <a:ext uri="{63B3BB69-23CF-44E3-9099-C40C66FF867C}">
                  <a14:compatExt spid="_x0000_s158731"/>
                </a:ext>
                <a:ext uri="{FF2B5EF4-FFF2-40B4-BE49-F238E27FC236}">
                  <a16:creationId xmlns:a16="http://schemas.microsoft.com/office/drawing/2014/main" id="{00000000-0008-0000-1200-00000B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2" name="Button 12" hidden="1">
              <a:extLst>
                <a:ext uri="{63B3BB69-23CF-44E3-9099-C40C66FF867C}">
                  <a14:compatExt spid="_x0000_s158732"/>
                </a:ext>
                <a:ext uri="{FF2B5EF4-FFF2-40B4-BE49-F238E27FC236}">
                  <a16:creationId xmlns:a16="http://schemas.microsoft.com/office/drawing/2014/main" id="{00000000-0008-0000-1200-00000C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3" name="Button 13" hidden="1">
              <a:extLst>
                <a:ext uri="{63B3BB69-23CF-44E3-9099-C40C66FF867C}">
                  <a14:compatExt spid="_x0000_s158733"/>
                </a:ext>
                <a:ext uri="{FF2B5EF4-FFF2-40B4-BE49-F238E27FC236}">
                  <a16:creationId xmlns:a16="http://schemas.microsoft.com/office/drawing/2014/main" id="{00000000-0008-0000-1200-00000D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58734" name="Button 14" hidden="1">
              <a:extLst>
                <a:ext uri="{63B3BB69-23CF-44E3-9099-C40C66FF867C}">
                  <a14:compatExt spid="_x0000_s158734"/>
                </a:ext>
                <a:ext uri="{FF2B5EF4-FFF2-40B4-BE49-F238E27FC236}">
                  <a16:creationId xmlns:a16="http://schemas.microsoft.com/office/drawing/2014/main" id="{00000000-0008-0000-1200-00000E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5" name="Button 15" hidden="1">
              <a:extLst>
                <a:ext uri="{63B3BB69-23CF-44E3-9099-C40C66FF867C}">
                  <a14:compatExt spid="_x0000_s158735"/>
                </a:ext>
                <a:ext uri="{FF2B5EF4-FFF2-40B4-BE49-F238E27FC236}">
                  <a16:creationId xmlns:a16="http://schemas.microsoft.com/office/drawing/2014/main" id="{00000000-0008-0000-1200-00000F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6" name="Button 16" hidden="1">
              <a:extLst>
                <a:ext uri="{63B3BB69-23CF-44E3-9099-C40C66FF867C}">
                  <a14:compatExt spid="_x0000_s158736"/>
                </a:ext>
                <a:ext uri="{FF2B5EF4-FFF2-40B4-BE49-F238E27FC236}">
                  <a16:creationId xmlns:a16="http://schemas.microsoft.com/office/drawing/2014/main" id="{00000000-0008-0000-1200-000010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7" name="Button 17" hidden="1">
              <a:extLst>
                <a:ext uri="{63B3BB69-23CF-44E3-9099-C40C66FF867C}">
                  <a14:compatExt spid="_x0000_s158737"/>
                </a:ext>
                <a:ext uri="{FF2B5EF4-FFF2-40B4-BE49-F238E27FC236}">
                  <a16:creationId xmlns:a16="http://schemas.microsoft.com/office/drawing/2014/main" id="{00000000-0008-0000-1200-00001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58738" name="Button 18" hidden="1">
              <a:extLst>
                <a:ext uri="{63B3BB69-23CF-44E3-9099-C40C66FF867C}">
                  <a14:compatExt spid="_x0000_s158738"/>
                </a:ext>
                <a:ext uri="{FF2B5EF4-FFF2-40B4-BE49-F238E27FC236}">
                  <a16:creationId xmlns:a16="http://schemas.microsoft.com/office/drawing/2014/main" id="{00000000-0008-0000-1200-00001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39" name="Button 19" hidden="1">
              <a:extLst>
                <a:ext uri="{63B3BB69-23CF-44E3-9099-C40C66FF867C}">
                  <a14:compatExt spid="_x0000_s158739"/>
                </a:ext>
                <a:ext uri="{FF2B5EF4-FFF2-40B4-BE49-F238E27FC236}">
                  <a16:creationId xmlns:a16="http://schemas.microsoft.com/office/drawing/2014/main" id="{00000000-0008-0000-1200-00001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40" name="Button 20" hidden="1">
              <a:extLst>
                <a:ext uri="{63B3BB69-23CF-44E3-9099-C40C66FF867C}">
                  <a14:compatExt spid="_x0000_s158740"/>
                </a:ext>
                <a:ext uri="{FF2B5EF4-FFF2-40B4-BE49-F238E27FC236}">
                  <a16:creationId xmlns:a16="http://schemas.microsoft.com/office/drawing/2014/main" id="{00000000-0008-0000-1200-00001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41" name="Button 21" hidden="1">
              <a:extLst>
                <a:ext uri="{63B3BB69-23CF-44E3-9099-C40C66FF867C}">
                  <a14:compatExt spid="_x0000_s158741"/>
                </a:ext>
                <a:ext uri="{FF2B5EF4-FFF2-40B4-BE49-F238E27FC236}">
                  <a16:creationId xmlns:a16="http://schemas.microsoft.com/office/drawing/2014/main" id="{00000000-0008-0000-1200-00001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58742" name="Button 22" hidden="1">
              <a:extLst>
                <a:ext uri="{63B3BB69-23CF-44E3-9099-C40C66FF867C}">
                  <a14:compatExt spid="_x0000_s158742"/>
                </a:ext>
                <a:ext uri="{FF2B5EF4-FFF2-40B4-BE49-F238E27FC236}">
                  <a16:creationId xmlns:a16="http://schemas.microsoft.com/office/drawing/2014/main" id="{00000000-0008-0000-1200-00001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3" name="Button 23" hidden="1">
              <a:extLst>
                <a:ext uri="{63B3BB69-23CF-44E3-9099-C40C66FF867C}">
                  <a14:compatExt spid="_x0000_s158743"/>
                </a:ext>
                <a:ext uri="{FF2B5EF4-FFF2-40B4-BE49-F238E27FC236}">
                  <a16:creationId xmlns:a16="http://schemas.microsoft.com/office/drawing/2014/main" id="{00000000-0008-0000-1200-00001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4" name="Button 24" hidden="1">
              <a:extLst>
                <a:ext uri="{63B3BB69-23CF-44E3-9099-C40C66FF867C}">
                  <a14:compatExt spid="_x0000_s158744"/>
                </a:ext>
                <a:ext uri="{FF2B5EF4-FFF2-40B4-BE49-F238E27FC236}">
                  <a16:creationId xmlns:a16="http://schemas.microsoft.com/office/drawing/2014/main" id="{00000000-0008-0000-1200-00001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5" name="Button 25" hidden="1">
              <a:extLst>
                <a:ext uri="{63B3BB69-23CF-44E3-9099-C40C66FF867C}">
                  <a14:compatExt spid="_x0000_s158745"/>
                </a:ext>
                <a:ext uri="{FF2B5EF4-FFF2-40B4-BE49-F238E27FC236}">
                  <a16:creationId xmlns:a16="http://schemas.microsoft.com/office/drawing/2014/main" id="{00000000-0008-0000-1200-00001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58746" name="Button 26" hidden="1">
              <a:extLst>
                <a:ext uri="{63B3BB69-23CF-44E3-9099-C40C66FF867C}">
                  <a14:compatExt spid="_x0000_s158746"/>
                </a:ext>
                <a:ext uri="{FF2B5EF4-FFF2-40B4-BE49-F238E27FC236}">
                  <a16:creationId xmlns:a16="http://schemas.microsoft.com/office/drawing/2014/main" id="{00000000-0008-0000-1200-00001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47" name="Button 27" hidden="1">
              <a:extLst>
                <a:ext uri="{63B3BB69-23CF-44E3-9099-C40C66FF867C}">
                  <a14:compatExt spid="_x0000_s158747"/>
                </a:ext>
                <a:ext uri="{FF2B5EF4-FFF2-40B4-BE49-F238E27FC236}">
                  <a16:creationId xmlns:a16="http://schemas.microsoft.com/office/drawing/2014/main" id="{00000000-0008-0000-1200-00001B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48" name="Button 28" hidden="1">
              <a:extLst>
                <a:ext uri="{63B3BB69-23CF-44E3-9099-C40C66FF867C}">
                  <a14:compatExt spid="_x0000_s158748"/>
                </a:ext>
                <a:ext uri="{FF2B5EF4-FFF2-40B4-BE49-F238E27FC236}">
                  <a16:creationId xmlns:a16="http://schemas.microsoft.com/office/drawing/2014/main" id="{00000000-0008-0000-1200-00001C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49" name="Button 29" hidden="1">
              <a:extLst>
                <a:ext uri="{63B3BB69-23CF-44E3-9099-C40C66FF867C}">
                  <a14:compatExt spid="_x0000_s158749"/>
                </a:ext>
                <a:ext uri="{FF2B5EF4-FFF2-40B4-BE49-F238E27FC236}">
                  <a16:creationId xmlns:a16="http://schemas.microsoft.com/office/drawing/2014/main" id="{00000000-0008-0000-1200-00001D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58750" name="Button 30" hidden="1">
              <a:extLst>
                <a:ext uri="{63B3BB69-23CF-44E3-9099-C40C66FF867C}">
                  <a14:compatExt spid="_x0000_s158750"/>
                </a:ext>
                <a:ext uri="{FF2B5EF4-FFF2-40B4-BE49-F238E27FC236}">
                  <a16:creationId xmlns:a16="http://schemas.microsoft.com/office/drawing/2014/main" id="{00000000-0008-0000-1200-00001E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1" name="Button 31" hidden="1">
              <a:extLst>
                <a:ext uri="{63B3BB69-23CF-44E3-9099-C40C66FF867C}">
                  <a14:compatExt spid="_x0000_s158751"/>
                </a:ext>
                <a:ext uri="{FF2B5EF4-FFF2-40B4-BE49-F238E27FC236}">
                  <a16:creationId xmlns:a16="http://schemas.microsoft.com/office/drawing/2014/main" id="{00000000-0008-0000-1200-00001F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2" name="Button 32" hidden="1">
              <a:extLst>
                <a:ext uri="{63B3BB69-23CF-44E3-9099-C40C66FF867C}">
                  <a14:compatExt spid="_x0000_s158752"/>
                </a:ext>
                <a:ext uri="{FF2B5EF4-FFF2-40B4-BE49-F238E27FC236}">
                  <a16:creationId xmlns:a16="http://schemas.microsoft.com/office/drawing/2014/main" id="{00000000-0008-0000-1200-000020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3" name="Button 33" hidden="1">
              <a:extLst>
                <a:ext uri="{63B3BB69-23CF-44E3-9099-C40C66FF867C}">
                  <a14:compatExt spid="_x0000_s158753"/>
                </a:ext>
                <a:ext uri="{FF2B5EF4-FFF2-40B4-BE49-F238E27FC236}">
                  <a16:creationId xmlns:a16="http://schemas.microsoft.com/office/drawing/2014/main" id="{00000000-0008-0000-1200-00002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58754" name="Button 34" hidden="1">
              <a:extLst>
                <a:ext uri="{63B3BB69-23CF-44E3-9099-C40C66FF867C}">
                  <a14:compatExt spid="_x0000_s158754"/>
                </a:ext>
                <a:ext uri="{FF2B5EF4-FFF2-40B4-BE49-F238E27FC236}">
                  <a16:creationId xmlns:a16="http://schemas.microsoft.com/office/drawing/2014/main" id="{00000000-0008-0000-1200-00002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5" name="Button 35" hidden="1">
              <a:extLst>
                <a:ext uri="{63B3BB69-23CF-44E3-9099-C40C66FF867C}">
                  <a14:compatExt spid="_x0000_s158755"/>
                </a:ext>
                <a:ext uri="{FF2B5EF4-FFF2-40B4-BE49-F238E27FC236}">
                  <a16:creationId xmlns:a16="http://schemas.microsoft.com/office/drawing/2014/main" id="{00000000-0008-0000-1200-00002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6" name="Button 36" hidden="1">
              <a:extLst>
                <a:ext uri="{63B3BB69-23CF-44E3-9099-C40C66FF867C}">
                  <a14:compatExt spid="_x0000_s158756"/>
                </a:ext>
                <a:ext uri="{FF2B5EF4-FFF2-40B4-BE49-F238E27FC236}">
                  <a16:creationId xmlns:a16="http://schemas.microsoft.com/office/drawing/2014/main" id="{00000000-0008-0000-1200-00002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7" name="Button 37" hidden="1">
              <a:extLst>
                <a:ext uri="{63B3BB69-23CF-44E3-9099-C40C66FF867C}">
                  <a14:compatExt spid="_x0000_s158757"/>
                </a:ext>
                <a:ext uri="{FF2B5EF4-FFF2-40B4-BE49-F238E27FC236}">
                  <a16:creationId xmlns:a16="http://schemas.microsoft.com/office/drawing/2014/main" id="{00000000-0008-0000-1200-00002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58758" name="Button 38" hidden="1">
              <a:extLst>
                <a:ext uri="{63B3BB69-23CF-44E3-9099-C40C66FF867C}">
                  <a14:compatExt spid="_x0000_s158758"/>
                </a:ext>
                <a:ext uri="{FF2B5EF4-FFF2-40B4-BE49-F238E27FC236}">
                  <a16:creationId xmlns:a16="http://schemas.microsoft.com/office/drawing/2014/main" id="{00000000-0008-0000-1200-00002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59" name="Button 39" hidden="1">
              <a:extLst>
                <a:ext uri="{63B3BB69-23CF-44E3-9099-C40C66FF867C}">
                  <a14:compatExt spid="_x0000_s158759"/>
                </a:ext>
                <a:ext uri="{FF2B5EF4-FFF2-40B4-BE49-F238E27FC236}">
                  <a16:creationId xmlns:a16="http://schemas.microsoft.com/office/drawing/2014/main" id="{00000000-0008-0000-1200-00002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60" name="Button 40" hidden="1">
              <a:extLst>
                <a:ext uri="{63B3BB69-23CF-44E3-9099-C40C66FF867C}">
                  <a14:compatExt spid="_x0000_s158760"/>
                </a:ext>
                <a:ext uri="{FF2B5EF4-FFF2-40B4-BE49-F238E27FC236}">
                  <a16:creationId xmlns:a16="http://schemas.microsoft.com/office/drawing/2014/main" id="{00000000-0008-0000-1200-00002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61" name="Button 41" hidden="1">
              <a:extLst>
                <a:ext uri="{63B3BB69-23CF-44E3-9099-C40C66FF867C}">
                  <a14:compatExt spid="_x0000_s158761"/>
                </a:ext>
                <a:ext uri="{FF2B5EF4-FFF2-40B4-BE49-F238E27FC236}">
                  <a16:creationId xmlns:a16="http://schemas.microsoft.com/office/drawing/2014/main" id="{00000000-0008-0000-1200-00002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58762" name="Button 42" hidden="1">
              <a:extLst>
                <a:ext uri="{63B3BB69-23CF-44E3-9099-C40C66FF867C}">
                  <a14:compatExt spid="_x0000_s158762"/>
                </a:ext>
                <a:ext uri="{FF2B5EF4-FFF2-40B4-BE49-F238E27FC236}">
                  <a16:creationId xmlns:a16="http://schemas.microsoft.com/office/drawing/2014/main" id="{00000000-0008-0000-1200-00002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3" name="Button 43" hidden="1">
              <a:extLst>
                <a:ext uri="{63B3BB69-23CF-44E3-9099-C40C66FF867C}">
                  <a14:compatExt spid="_x0000_s158763"/>
                </a:ext>
                <a:ext uri="{FF2B5EF4-FFF2-40B4-BE49-F238E27FC236}">
                  <a16:creationId xmlns:a16="http://schemas.microsoft.com/office/drawing/2014/main" id="{00000000-0008-0000-1200-00002B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4" name="Button 44" hidden="1">
              <a:extLst>
                <a:ext uri="{63B3BB69-23CF-44E3-9099-C40C66FF867C}">
                  <a14:compatExt spid="_x0000_s158764"/>
                </a:ext>
                <a:ext uri="{FF2B5EF4-FFF2-40B4-BE49-F238E27FC236}">
                  <a16:creationId xmlns:a16="http://schemas.microsoft.com/office/drawing/2014/main" id="{00000000-0008-0000-1200-00002C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5" name="Button 45" hidden="1">
              <a:extLst>
                <a:ext uri="{63B3BB69-23CF-44E3-9099-C40C66FF867C}">
                  <a14:compatExt spid="_x0000_s158765"/>
                </a:ext>
                <a:ext uri="{FF2B5EF4-FFF2-40B4-BE49-F238E27FC236}">
                  <a16:creationId xmlns:a16="http://schemas.microsoft.com/office/drawing/2014/main" id="{00000000-0008-0000-1200-00002D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58766" name="Button 46" hidden="1">
              <a:extLst>
                <a:ext uri="{63B3BB69-23CF-44E3-9099-C40C66FF867C}">
                  <a14:compatExt spid="_x0000_s158766"/>
                </a:ext>
                <a:ext uri="{FF2B5EF4-FFF2-40B4-BE49-F238E27FC236}">
                  <a16:creationId xmlns:a16="http://schemas.microsoft.com/office/drawing/2014/main" id="{00000000-0008-0000-1200-00002E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67" name="Button 47" hidden="1">
              <a:extLst>
                <a:ext uri="{63B3BB69-23CF-44E3-9099-C40C66FF867C}">
                  <a14:compatExt spid="_x0000_s158767"/>
                </a:ext>
                <a:ext uri="{FF2B5EF4-FFF2-40B4-BE49-F238E27FC236}">
                  <a16:creationId xmlns:a16="http://schemas.microsoft.com/office/drawing/2014/main" id="{00000000-0008-0000-1200-00002F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68" name="Button 48" hidden="1">
              <a:extLst>
                <a:ext uri="{63B3BB69-23CF-44E3-9099-C40C66FF867C}">
                  <a14:compatExt spid="_x0000_s158768"/>
                </a:ext>
                <a:ext uri="{FF2B5EF4-FFF2-40B4-BE49-F238E27FC236}">
                  <a16:creationId xmlns:a16="http://schemas.microsoft.com/office/drawing/2014/main" id="{00000000-0008-0000-1200-000030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69" name="Button 49" hidden="1">
              <a:extLst>
                <a:ext uri="{63B3BB69-23CF-44E3-9099-C40C66FF867C}">
                  <a14:compatExt spid="_x0000_s158769"/>
                </a:ext>
                <a:ext uri="{FF2B5EF4-FFF2-40B4-BE49-F238E27FC236}">
                  <a16:creationId xmlns:a16="http://schemas.microsoft.com/office/drawing/2014/main" id="{00000000-0008-0000-1200-000031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58770" name="Button 50" hidden="1">
              <a:extLst>
                <a:ext uri="{63B3BB69-23CF-44E3-9099-C40C66FF867C}">
                  <a14:compatExt spid="_x0000_s158770"/>
                </a:ext>
                <a:ext uri="{FF2B5EF4-FFF2-40B4-BE49-F238E27FC236}">
                  <a16:creationId xmlns:a16="http://schemas.microsoft.com/office/drawing/2014/main" id="{00000000-0008-0000-1200-000032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1" name="Button 51" hidden="1">
              <a:extLst>
                <a:ext uri="{63B3BB69-23CF-44E3-9099-C40C66FF867C}">
                  <a14:compatExt spid="_x0000_s158771"/>
                </a:ext>
                <a:ext uri="{FF2B5EF4-FFF2-40B4-BE49-F238E27FC236}">
                  <a16:creationId xmlns:a16="http://schemas.microsoft.com/office/drawing/2014/main" id="{00000000-0008-0000-1200-000033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2" name="Button 52" hidden="1">
              <a:extLst>
                <a:ext uri="{63B3BB69-23CF-44E3-9099-C40C66FF867C}">
                  <a14:compatExt spid="_x0000_s158772"/>
                </a:ext>
                <a:ext uri="{FF2B5EF4-FFF2-40B4-BE49-F238E27FC236}">
                  <a16:creationId xmlns:a16="http://schemas.microsoft.com/office/drawing/2014/main" id="{00000000-0008-0000-1200-000034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3" name="Button 53" hidden="1">
              <a:extLst>
                <a:ext uri="{63B3BB69-23CF-44E3-9099-C40C66FF867C}">
                  <a14:compatExt spid="_x0000_s158773"/>
                </a:ext>
                <a:ext uri="{FF2B5EF4-FFF2-40B4-BE49-F238E27FC236}">
                  <a16:creationId xmlns:a16="http://schemas.microsoft.com/office/drawing/2014/main" id="{00000000-0008-0000-1200-000035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58774" name="Button 54" hidden="1">
              <a:extLst>
                <a:ext uri="{63B3BB69-23CF-44E3-9099-C40C66FF867C}">
                  <a14:compatExt spid="_x0000_s158774"/>
                </a:ext>
                <a:ext uri="{FF2B5EF4-FFF2-40B4-BE49-F238E27FC236}">
                  <a16:creationId xmlns:a16="http://schemas.microsoft.com/office/drawing/2014/main" id="{00000000-0008-0000-1200-000036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5" name="Button 55" hidden="1">
              <a:extLst>
                <a:ext uri="{63B3BB69-23CF-44E3-9099-C40C66FF867C}">
                  <a14:compatExt spid="_x0000_s158775"/>
                </a:ext>
                <a:ext uri="{FF2B5EF4-FFF2-40B4-BE49-F238E27FC236}">
                  <a16:creationId xmlns:a16="http://schemas.microsoft.com/office/drawing/2014/main" id="{00000000-0008-0000-1200-000037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6" name="Button 56" hidden="1">
              <a:extLst>
                <a:ext uri="{63B3BB69-23CF-44E3-9099-C40C66FF867C}">
                  <a14:compatExt spid="_x0000_s158776"/>
                </a:ext>
                <a:ext uri="{FF2B5EF4-FFF2-40B4-BE49-F238E27FC236}">
                  <a16:creationId xmlns:a16="http://schemas.microsoft.com/office/drawing/2014/main" id="{00000000-0008-0000-1200-000038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7" name="Button 57" hidden="1">
              <a:extLst>
                <a:ext uri="{63B3BB69-23CF-44E3-9099-C40C66FF867C}">
                  <a14:compatExt spid="_x0000_s158777"/>
                </a:ext>
                <a:ext uri="{FF2B5EF4-FFF2-40B4-BE49-F238E27FC236}">
                  <a16:creationId xmlns:a16="http://schemas.microsoft.com/office/drawing/2014/main" id="{00000000-0008-0000-1200-000039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58778" name="Button 58" hidden="1">
              <a:extLst>
                <a:ext uri="{63B3BB69-23CF-44E3-9099-C40C66FF867C}">
                  <a14:compatExt spid="_x0000_s158778"/>
                </a:ext>
                <a:ext uri="{FF2B5EF4-FFF2-40B4-BE49-F238E27FC236}">
                  <a16:creationId xmlns:a16="http://schemas.microsoft.com/office/drawing/2014/main" id="{00000000-0008-0000-1200-00003A6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3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89</xdr:row>
          <xdr:rowOff>47625</xdr:rowOff>
        </xdr:from>
        <xdr:to>
          <xdr:col>16</xdr:col>
          <xdr:colOff>28575</xdr:colOff>
          <xdr:row>90</xdr:row>
          <xdr:rowOff>85725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3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3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3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3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3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3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3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3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3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3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3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3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3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3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3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3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3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3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3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3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3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3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3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3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3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3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3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3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3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3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3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3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3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3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3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3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3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3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3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3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3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3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3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3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3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3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3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3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3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3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3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3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3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3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3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3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3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4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4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4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4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4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4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4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4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4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4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4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4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4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4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4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4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4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4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4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4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4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4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4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4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4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4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4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4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4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4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4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4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4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4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4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4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4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4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4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4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4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4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4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4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4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4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4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4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4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4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4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4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4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4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4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4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4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4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5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5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14017" name="Button 1" hidden="1">
              <a:extLst>
                <a:ext uri="{63B3BB69-23CF-44E3-9099-C40C66FF867C}">
                  <a14:compatExt spid="_x0000_s214017"/>
                </a:ext>
                <a:ext uri="{FF2B5EF4-FFF2-40B4-BE49-F238E27FC236}">
                  <a16:creationId xmlns:a16="http://schemas.microsoft.com/office/drawing/2014/main" id="{00000000-0008-0000-1600-000001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83</xdr:row>
          <xdr:rowOff>38100</xdr:rowOff>
        </xdr:from>
        <xdr:to>
          <xdr:col>30</xdr:col>
          <xdr:colOff>161925</xdr:colOff>
          <xdr:row>84</xdr:row>
          <xdr:rowOff>85725</xdr:rowOff>
        </xdr:to>
        <xdr:sp macro="" textlink="">
          <xdr:nvSpPr>
            <xdr:cNvPr id="214018" name="Button 2" hidden="1">
              <a:extLst>
                <a:ext uri="{63B3BB69-23CF-44E3-9099-C40C66FF867C}">
                  <a14:compatExt spid="_x0000_s214018"/>
                </a:ext>
                <a:ext uri="{FF2B5EF4-FFF2-40B4-BE49-F238E27FC236}">
                  <a16:creationId xmlns:a16="http://schemas.microsoft.com/office/drawing/2014/main" id="{00000000-0008-0000-1600-000002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14019" name="Button 3" hidden="1">
              <a:extLst>
                <a:ext uri="{63B3BB69-23CF-44E3-9099-C40C66FF867C}">
                  <a14:compatExt spid="_x0000_s214019"/>
                </a:ext>
                <a:ext uri="{FF2B5EF4-FFF2-40B4-BE49-F238E27FC236}">
                  <a16:creationId xmlns:a16="http://schemas.microsoft.com/office/drawing/2014/main" id="{00000000-0008-0000-1600-000003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214020" name="Button 4" hidden="1">
              <a:extLst>
                <a:ext uri="{63B3BB69-23CF-44E3-9099-C40C66FF867C}">
                  <a14:compatExt spid="_x0000_s214020"/>
                </a:ext>
                <a:ext uri="{FF2B5EF4-FFF2-40B4-BE49-F238E27FC236}">
                  <a16:creationId xmlns:a16="http://schemas.microsoft.com/office/drawing/2014/main" id="{00000000-0008-0000-1600-0000044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7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7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7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8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68</xdr:row>
          <xdr:rowOff>47625</xdr:rowOff>
        </xdr:from>
        <xdr:to>
          <xdr:col>15</xdr:col>
          <xdr:colOff>542925</xdr:colOff>
          <xdr:row>69</xdr:row>
          <xdr:rowOff>104775</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8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8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8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8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8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72033" name="Button 1" hidden="1">
              <a:extLst>
                <a:ext uri="{63B3BB69-23CF-44E3-9099-C40C66FF867C}">
                  <a14:compatExt spid="_x0000_s172033"/>
                </a:ext>
                <a:ext uri="{FF2B5EF4-FFF2-40B4-BE49-F238E27FC236}">
                  <a16:creationId xmlns:a16="http://schemas.microsoft.com/office/drawing/2014/main" id="{00000000-0008-0000-1900-000001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172034" name="Button 2" hidden="1">
              <a:extLst>
                <a:ext uri="{63B3BB69-23CF-44E3-9099-C40C66FF867C}">
                  <a14:compatExt spid="_x0000_s172034"/>
                </a:ext>
                <a:ext uri="{FF2B5EF4-FFF2-40B4-BE49-F238E27FC236}">
                  <a16:creationId xmlns:a16="http://schemas.microsoft.com/office/drawing/2014/main" id="{00000000-0008-0000-1900-000002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5" name="Button 3" hidden="1">
              <a:extLst>
                <a:ext uri="{63B3BB69-23CF-44E3-9099-C40C66FF867C}">
                  <a14:compatExt spid="_x0000_s172035"/>
                </a:ext>
                <a:ext uri="{FF2B5EF4-FFF2-40B4-BE49-F238E27FC236}">
                  <a16:creationId xmlns:a16="http://schemas.microsoft.com/office/drawing/2014/main" id="{00000000-0008-0000-1900-000003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6" name="Button 4" hidden="1">
              <a:extLst>
                <a:ext uri="{63B3BB69-23CF-44E3-9099-C40C66FF867C}">
                  <a14:compatExt spid="_x0000_s172036"/>
                </a:ext>
                <a:ext uri="{FF2B5EF4-FFF2-40B4-BE49-F238E27FC236}">
                  <a16:creationId xmlns:a16="http://schemas.microsoft.com/office/drawing/2014/main" id="{00000000-0008-0000-1900-000004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7" name="Button 5" hidden="1">
              <a:extLst>
                <a:ext uri="{63B3BB69-23CF-44E3-9099-C40C66FF867C}">
                  <a14:compatExt spid="_x0000_s172037"/>
                </a:ext>
                <a:ext uri="{FF2B5EF4-FFF2-40B4-BE49-F238E27FC236}">
                  <a16:creationId xmlns:a16="http://schemas.microsoft.com/office/drawing/2014/main" id="{00000000-0008-0000-1900-000005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72038" name="Button 6" hidden="1">
              <a:extLst>
                <a:ext uri="{63B3BB69-23CF-44E3-9099-C40C66FF867C}">
                  <a14:compatExt spid="_x0000_s172038"/>
                </a:ext>
                <a:ext uri="{FF2B5EF4-FFF2-40B4-BE49-F238E27FC236}">
                  <a16:creationId xmlns:a16="http://schemas.microsoft.com/office/drawing/2014/main" id="{00000000-0008-0000-1900-000006A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83</xdr:row>
          <xdr:rowOff>47625</xdr:rowOff>
        </xdr:from>
        <xdr:to>
          <xdr:col>16</xdr:col>
          <xdr:colOff>28575</xdr:colOff>
          <xdr:row>84</xdr:row>
          <xdr:rowOff>85725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1B00-00000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83</xdr:row>
          <xdr:rowOff>47625</xdr:rowOff>
        </xdr:from>
        <xdr:to>
          <xdr:col>16</xdr:col>
          <xdr:colOff>28575</xdr:colOff>
          <xdr:row>84</xdr:row>
          <xdr:rowOff>85725</xdr:rowOff>
        </xdr:to>
        <xdr:sp macro="" textlink="">
          <xdr:nvSpPr>
            <xdr:cNvPr id="123906" name="Button 2" hidden="1">
              <a:extLst>
                <a:ext uri="{63B3BB69-23CF-44E3-9099-C40C66FF867C}">
                  <a14:compatExt spid="_x0000_s123906"/>
                </a:ext>
                <a:ext uri="{FF2B5EF4-FFF2-40B4-BE49-F238E27FC236}">
                  <a16:creationId xmlns:a16="http://schemas.microsoft.com/office/drawing/2014/main" id="{00000000-0008-0000-1B00-00000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07" name="Button 3" hidden="1">
              <a:extLst>
                <a:ext uri="{63B3BB69-23CF-44E3-9099-C40C66FF867C}">
                  <a14:compatExt spid="_x0000_s123907"/>
                </a:ext>
                <a:ext uri="{FF2B5EF4-FFF2-40B4-BE49-F238E27FC236}">
                  <a16:creationId xmlns:a16="http://schemas.microsoft.com/office/drawing/2014/main" id="{00000000-0008-0000-1B00-00000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08" name="Button 4" hidden="1">
              <a:extLst>
                <a:ext uri="{63B3BB69-23CF-44E3-9099-C40C66FF867C}">
                  <a14:compatExt spid="_x0000_s123908"/>
                </a:ext>
                <a:ext uri="{FF2B5EF4-FFF2-40B4-BE49-F238E27FC236}">
                  <a16:creationId xmlns:a16="http://schemas.microsoft.com/office/drawing/2014/main" id="{00000000-0008-0000-1B00-00000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09" name="Button 5" hidden="1">
              <a:extLst>
                <a:ext uri="{63B3BB69-23CF-44E3-9099-C40C66FF867C}">
                  <a14:compatExt spid="_x0000_s123909"/>
                </a:ext>
                <a:ext uri="{FF2B5EF4-FFF2-40B4-BE49-F238E27FC236}">
                  <a16:creationId xmlns:a16="http://schemas.microsoft.com/office/drawing/2014/main" id="{00000000-0008-0000-1B00-00000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3910" name="Button 6" hidden="1">
              <a:extLst>
                <a:ext uri="{63B3BB69-23CF-44E3-9099-C40C66FF867C}">
                  <a14:compatExt spid="_x0000_s123910"/>
                </a:ext>
                <a:ext uri="{FF2B5EF4-FFF2-40B4-BE49-F238E27FC236}">
                  <a16:creationId xmlns:a16="http://schemas.microsoft.com/office/drawing/2014/main" id="{00000000-0008-0000-1B00-00000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1" name="Button 7" hidden="1">
              <a:extLst>
                <a:ext uri="{63B3BB69-23CF-44E3-9099-C40C66FF867C}">
                  <a14:compatExt spid="_x0000_s123911"/>
                </a:ext>
                <a:ext uri="{FF2B5EF4-FFF2-40B4-BE49-F238E27FC236}">
                  <a16:creationId xmlns:a16="http://schemas.microsoft.com/office/drawing/2014/main" id="{00000000-0008-0000-1B00-00000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2" name="Button 8" hidden="1">
              <a:extLst>
                <a:ext uri="{63B3BB69-23CF-44E3-9099-C40C66FF867C}">
                  <a14:compatExt spid="_x0000_s123912"/>
                </a:ext>
                <a:ext uri="{FF2B5EF4-FFF2-40B4-BE49-F238E27FC236}">
                  <a16:creationId xmlns:a16="http://schemas.microsoft.com/office/drawing/2014/main" id="{00000000-0008-0000-1B00-00000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3" name="Button 9" hidden="1">
              <a:extLst>
                <a:ext uri="{63B3BB69-23CF-44E3-9099-C40C66FF867C}">
                  <a14:compatExt spid="_x0000_s123913"/>
                </a:ext>
                <a:ext uri="{FF2B5EF4-FFF2-40B4-BE49-F238E27FC236}">
                  <a16:creationId xmlns:a16="http://schemas.microsoft.com/office/drawing/2014/main" id="{00000000-0008-0000-1B00-00000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23914" name="Button 10" hidden="1">
              <a:extLst>
                <a:ext uri="{63B3BB69-23CF-44E3-9099-C40C66FF867C}">
                  <a14:compatExt spid="_x0000_s123914"/>
                </a:ext>
                <a:ext uri="{FF2B5EF4-FFF2-40B4-BE49-F238E27FC236}">
                  <a16:creationId xmlns:a16="http://schemas.microsoft.com/office/drawing/2014/main" id="{00000000-0008-0000-1B00-00000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5" name="Button 11" hidden="1">
              <a:extLst>
                <a:ext uri="{63B3BB69-23CF-44E3-9099-C40C66FF867C}">
                  <a14:compatExt spid="_x0000_s123915"/>
                </a:ext>
                <a:ext uri="{FF2B5EF4-FFF2-40B4-BE49-F238E27FC236}">
                  <a16:creationId xmlns:a16="http://schemas.microsoft.com/office/drawing/2014/main" id="{00000000-0008-0000-1B00-00000B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6" name="Button 12" hidden="1">
              <a:extLst>
                <a:ext uri="{63B3BB69-23CF-44E3-9099-C40C66FF867C}">
                  <a14:compatExt spid="_x0000_s123916"/>
                </a:ext>
                <a:ext uri="{FF2B5EF4-FFF2-40B4-BE49-F238E27FC236}">
                  <a16:creationId xmlns:a16="http://schemas.microsoft.com/office/drawing/2014/main" id="{00000000-0008-0000-1B00-00000C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7" name="Button 13" hidden="1">
              <a:extLst>
                <a:ext uri="{63B3BB69-23CF-44E3-9099-C40C66FF867C}">
                  <a14:compatExt spid="_x0000_s123917"/>
                </a:ext>
                <a:ext uri="{FF2B5EF4-FFF2-40B4-BE49-F238E27FC236}">
                  <a16:creationId xmlns:a16="http://schemas.microsoft.com/office/drawing/2014/main" id="{00000000-0008-0000-1B00-00000D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23918" name="Button 14" hidden="1">
              <a:extLst>
                <a:ext uri="{63B3BB69-23CF-44E3-9099-C40C66FF867C}">
                  <a14:compatExt spid="_x0000_s123918"/>
                </a:ext>
                <a:ext uri="{FF2B5EF4-FFF2-40B4-BE49-F238E27FC236}">
                  <a16:creationId xmlns:a16="http://schemas.microsoft.com/office/drawing/2014/main" id="{00000000-0008-0000-1B00-00000E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19" name="Button 15" hidden="1">
              <a:extLst>
                <a:ext uri="{63B3BB69-23CF-44E3-9099-C40C66FF867C}">
                  <a14:compatExt spid="_x0000_s123919"/>
                </a:ext>
                <a:ext uri="{FF2B5EF4-FFF2-40B4-BE49-F238E27FC236}">
                  <a16:creationId xmlns:a16="http://schemas.microsoft.com/office/drawing/2014/main" id="{00000000-0008-0000-1B00-00000F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20" name="Button 16" hidden="1">
              <a:extLst>
                <a:ext uri="{63B3BB69-23CF-44E3-9099-C40C66FF867C}">
                  <a14:compatExt spid="_x0000_s123920"/>
                </a:ext>
                <a:ext uri="{FF2B5EF4-FFF2-40B4-BE49-F238E27FC236}">
                  <a16:creationId xmlns:a16="http://schemas.microsoft.com/office/drawing/2014/main" id="{00000000-0008-0000-1B00-000010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21" name="Button 17" hidden="1">
              <a:extLst>
                <a:ext uri="{63B3BB69-23CF-44E3-9099-C40C66FF867C}">
                  <a14:compatExt spid="_x0000_s123921"/>
                </a:ext>
                <a:ext uri="{FF2B5EF4-FFF2-40B4-BE49-F238E27FC236}">
                  <a16:creationId xmlns:a16="http://schemas.microsoft.com/office/drawing/2014/main" id="{00000000-0008-0000-1B00-00001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23922" name="Button 18" hidden="1">
              <a:extLst>
                <a:ext uri="{63B3BB69-23CF-44E3-9099-C40C66FF867C}">
                  <a14:compatExt spid="_x0000_s123922"/>
                </a:ext>
                <a:ext uri="{FF2B5EF4-FFF2-40B4-BE49-F238E27FC236}">
                  <a16:creationId xmlns:a16="http://schemas.microsoft.com/office/drawing/2014/main" id="{00000000-0008-0000-1B00-00001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3" name="Button 19" hidden="1">
              <a:extLst>
                <a:ext uri="{63B3BB69-23CF-44E3-9099-C40C66FF867C}">
                  <a14:compatExt spid="_x0000_s123923"/>
                </a:ext>
                <a:ext uri="{FF2B5EF4-FFF2-40B4-BE49-F238E27FC236}">
                  <a16:creationId xmlns:a16="http://schemas.microsoft.com/office/drawing/2014/main" id="{00000000-0008-0000-1B00-00001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4" name="Button 20" hidden="1">
              <a:extLst>
                <a:ext uri="{63B3BB69-23CF-44E3-9099-C40C66FF867C}">
                  <a14:compatExt spid="_x0000_s123924"/>
                </a:ext>
                <a:ext uri="{FF2B5EF4-FFF2-40B4-BE49-F238E27FC236}">
                  <a16:creationId xmlns:a16="http://schemas.microsoft.com/office/drawing/2014/main" id="{00000000-0008-0000-1B00-00001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5" name="Button 21" hidden="1">
              <a:extLst>
                <a:ext uri="{63B3BB69-23CF-44E3-9099-C40C66FF867C}">
                  <a14:compatExt spid="_x0000_s123925"/>
                </a:ext>
                <a:ext uri="{FF2B5EF4-FFF2-40B4-BE49-F238E27FC236}">
                  <a16:creationId xmlns:a16="http://schemas.microsoft.com/office/drawing/2014/main" id="{00000000-0008-0000-1B00-00001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23926" name="Button 22" hidden="1">
              <a:extLst>
                <a:ext uri="{63B3BB69-23CF-44E3-9099-C40C66FF867C}">
                  <a14:compatExt spid="_x0000_s123926"/>
                </a:ext>
                <a:ext uri="{FF2B5EF4-FFF2-40B4-BE49-F238E27FC236}">
                  <a16:creationId xmlns:a16="http://schemas.microsoft.com/office/drawing/2014/main" id="{00000000-0008-0000-1B00-00001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27" name="Button 23" hidden="1">
              <a:extLst>
                <a:ext uri="{63B3BB69-23CF-44E3-9099-C40C66FF867C}">
                  <a14:compatExt spid="_x0000_s123927"/>
                </a:ext>
                <a:ext uri="{FF2B5EF4-FFF2-40B4-BE49-F238E27FC236}">
                  <a16:creationId xmlns:a16="http://schemas.microsoft.com/office/drawing/2014/main" id="{00000000-0008-0000-1B00-00001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28" name="Button 24" hidden="1">
              <a:extLst>
                <a:ext uri="{63B3BB69-23CF-44E3-9099-C40C66FF867C}">
                  <a14:compatExt spid="_x0000_s123928"/>
                </a:ext>
                <a:ext uri="{FF2B5EF4-FFF2-40B4-BE49-F238E27FC236}">
                  <a16:creationId xmlns:a16="http://schemas.microsoft.com/office/drawing/2014/main" id="{00000000-0008-0000-1B00-00001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29" name="Button 25" hidden="1">
              <a:extLst>
                <a:ext uri="{63B3BB69-23CF-44E3-9099-C40C66FF867C}">
                  <a14:compatExt spid="_x0000_s123929"/>
                </a:ext>
                <a:ext uri="{FF2B5EF4-FFF2-40B4-BE49-F238E27FC236}">
                  <a16:creationId xmlns:a16="http://schemas.microsoft.com/office/drawing/2014/main" id="{00000000-0008-0000-1B00-00001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23930" name="Button 26" hidden="1">
              <a:extLst>
                <a:ext uri="{63B3BB69-23CF-44E3-9099-C40C66FF867C}">
                  <a14:compatExt spid="_x0000_s123930"/>
                </a:ext>
                <a:ext uri="{FF2B5EF4-FFF2-40B4-BE49-F238E27FC236}">
                  <a16:creationId xmlns:a16="http://schemas.microsoft.com/office/drawing/2014/main" id="{00000000-0008-0000-1B00-00001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1" name="Button 27" hidden="1">
              <a:extLst>
                <a:ext uri="{63B3BB69-23CF-44E3-9099-C40C66FF867C}">
                  <a14:compatExt spid="_x0000_s123931"/>
                </a:ext>
                <a:ext uri="{FF2B5EF4-FFF2-40B4-BE49-F238E27FC236}">
                  <a16:creationId xmlns:a16="http://schemas.microsoft.com/office/drawing/2014/main" id="{00000000-0008-0000-1B00-00001B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2" name="Button 28" hidden="1">
              <a:extLst>
                <a:ext uri="{63B3BB69-23CF-44E3-9099-C40C66FF867C}">
                  <a14:compatExt spid="_x0000_s123932"/>
                </a:ext>
                <a:ext uri="{FF2B5EF4-FFF2-40B4-BE49-F238E27FC236}">
                  <a16:creationId xmlns:a16="http://schemas.microsoft.com/office/drawing/2014/main" id="{00000000-0008-0000-1B00-00001C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3" name="Button 29" hidden="1">
              <a:extLst>
                <a:ext uri="{63B3BB69-23CF-44E3-9099-C40C66FF867C}">
                  <a14:compatExt spid="_x0000_s123933"/>
                </a:ext>
                <a:ext uri="{FF2B5EF4-FFF2-40B4-BE49-F238E27FC236}">
                  <a16:creationId xmlns:a16="http://schemas.microsoft.com/office/drawing/2014/main" id="{00000000-0008-0000-1B00-00001D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23934" name="Button 30" hidden="1">
              <a:extLst>
                <a:ext uri="{63B3BB69-23CF-44E3-9099-C40C66FF867C}">
                  <a14:compatExt spid="_x0000_s123934"/>
                </a:ext>
                <a:ext uri="{FF2B5EF4-FFF2-40B4-BE49-F238E27FC236}">
                  <a16:creationId xmlns:a16="http://schemas.microsoft.com/office/drawing/2014/main" id="{00000000-0008-0000-1B00-00001E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5" name="Button 31" hidden="1">
              <a:extLst>
                <a:ext uri="{63B3BB69-23CF-44E3-9099-C40C66FF867C}">
                  <a14:compatExt spid="_x0000_s123935"/>
                </a:ext>
                <a:ext uri="{FF2B5EF4-FFF2-40B4-BE49-F238E27FC236}">
                  <a16:creationId xmlns:a16="http://schemas.microsoft.com/office/drawing/2014/main" id="{00000000-0008-0000-1B00-00001F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6" name="Button 32" hidden="1">
              <a:extLst>
                <a:ext uri="{63B3BB69-23CF-44E3-9099-C40C66FF867C}">
                  <a14:compatExt spid="_x0000_s123936"/>
                </a:ext>
                <a:ext uri="{FF2B5EF4-FFF2-40B4-BE49-F238E27FC236}">
                  <a16:creationId xmlns:a16="http://schemas.microsoft.com/office/drawing/2014/main" id="{00000000-0008-0000-1B00-000020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7" name="Button 33" hidden="1">
              <a:extLst>
                <a:ext uri="{63B3BB69-23CF-44E3-9099-C40C66FF867C}">
                  <a14:compatExt spid="_x0000_s123937"/>
                </a:ext>
                <a:ext uri="{FF2B5EF4-FFF2-40B4-BE49-F238E27FC236}">
                  <a16:creationId xmlns:a16="http://schemas.microsoft.com/office/drawing/2014/main" id="{00000000-0008-0000-1B00-00002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23938" name="Button 34" hidden="1">
              <a:extLst>
                <a:ext uri="{63B3BB69-23CF-44E3-9099-C40C66FF867C}">
                  <a14:compatExt spid="_x0000_s123938"/>
                </a:ext>
                <a:ext uri="{FF2B5EF4-FFF2-40B4-BE49-F238E27FC236}">
                  <a16:creationId xmlns:a16="http://schemas.microsoft.com/office/drawing/2014/main" id="{00000000-0008-0000-1B00-00002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39" name="Button 35" hidden="1">
              <a:extLst>
                <a:ext uri="{63B3BB69-23CF-44E3-9099-C40C66FF867C}">
                  <a14:compatExt spid="_x0000_s123939"/>
                </a:ext>
                <a:ext uri="{FF2B5EF4-FFF2-40B4-BE49-F238E27FC236}">
                  <a16:creationId xmlns:a16="http://schemas.microsoft.com/office/drawing/2014/main" id="{00000000-0008-0000-1B00-00002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40" name="Button 36" hidden="1">
              <a:extLst>
                <a:ext uri="{63B3BB69-23CF-44E3-9099-C40C66FF867C}">
                  <a14:compatExt spid="_x0000_s123940"/>
                </a:ext>
                <a:ext uri="{FF2B5EF4-FFF2-40B4-BE49-F238E27FC236}">
                  <a16:creationId xmlns:a16="http://schemas.microsoft.com/office/drawing/2014/main" id="{00000000-0008-0000-1B00-00002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41" name="Button 37" hidden="1">
              <a:extLst>
                <a:ext uri="{63B3BB69-23CF-44E3-9099-C40C66FF867C}">
                  <a14:compatExt spid="_x0000_s123941"/>
                </a:ext>
                <a:ext uri="{FF2B5EF4-FFF2-40B4-BE49-F238E27FC236}">
                  <a16:creationId xmlns:a16="http://schemas.microsoft.com/office/drawing/2014/main" id="{00000000-0008-0000-1B00-00002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23942" name="Button 38" hidden="1">
              <a:extLst>
                <a:ext uri="{63B3BB69-23CF-44E3-9099-C40C66FF867C}">
                  <a14:compatExt spid="_x0000_s123942"/>
                </a:ext>
                <a:ext uri="{FF2B5EF4-FFF2-40B4-BE49-F238E27FC236}">
                  <a16:creationId xmlns:a16="http://schemas.microsoft.com/office/drawing/2014/main" id="{00000000-0008-0000-1B00-00002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3" name="Button 39" hidden="1">
              <a:extLst>
                <a:ext uri="{63B3BB69-23CF-44E3-9099-C40C66FF867C}">
                  <a14:compatExt spid="_x0000_s123943"/>
                </a:ext>
                <a:ext uri="{FF2B5EF4-FFF2-40B4-BE49-F238E27FC236}">
                  <a16:creationId xmlns:a16="http://schemas.microsoft.com/office/drawing/2014/main" id="{00000000-0008-0000-1B00-00002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4" name="Button 40" hidden="1">
              <a:extLst>
                <a:ext uri="{63B3BB69-23CF-44E3-9099-C40C66FF867C}">
                  <a14:compatExt spid="_x0000_s123944"/>
                </a:ext>
                <a:ext uri="{FF2B5EF4-FFF2-40B4-BE49-F238E27FC236}">
                  <a16:creationId xmlns:a16="http://schemas.microsoft.com/office/drawing/2014/main" id="{00000000-0008-0000-1B00-00002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5" name="Button 41" hidden="1">
              <a:extLst>
                <a:ext uri="{63B3BB69-23CF-44E3-9099-C40C66FF867C}">
                  <a14:compatExt spid="_x0000_s123945"/>
                </a:ext>
                <a:ext uri="{FF2B5EF4-FFF2-40B4-BE49-F238E27FC236}">
                  <a16:creationId xmlns:a16="http://schemas.microsoft.com/office/drawing/2014/main" id="{00000000-0008-0000-1B00-00002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23946" name="Button 42" hidden="1">
              <a:extLst>
                <a:ext uri="{63B3BB69-23CF-44E3-9099-C40C66FF867C}">
                  <a14:compatExt spid="_x0000_s123946"/>
                </a:ext>
                <a:ext uri="{FF2B5EF4-FFF2-40B4-BE49-F238E27FC236}">
                  <a16:creationId xmlns:a16="http://schemas.microsoft.com/office/drawing/2014/main" id="{00000000-0008-0000-1B00-00002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47" name="Button 43" hidden="1">
              <a:extLst>
                <a:ext uri="{63B3BB69-23CF-44E3-9099-C40C66FF867C}">
                  <a14:compatExt spid="_x0000_s123947"/>
                </a:ext>
                <a:ext uri="{FF2B5EF4-FFF2-40B4-BE49-F238E27FC236}">
                  <a16:creationId xmlns:a16="http://schemas.microsoft.com/office/drawing/2014/main" id="{00000000-0008-0000-1B00-00002B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48" name="Button 44" hidden="1">
              <a:extLst>
                <a:ext uri="{63B3BB69-23CF-44E3-9099-C40C66FF867C}">
                  <a14:compatExt spid="_x0000_s123948"/>
                </a:ext>
                <a:ext uri="{FF2B5EF4-FFF2-40B4-BE49-F238E27FC236}">
                  <a16:creationId xmlns:a16="http://schemas.microsoft.com/office/drawing/2014/main" id="{00000000-0008-0000-1B00-00002C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49" name="Button 45" hidden="1">
              <a:extLst>
                <a:ext uri="{63B3BB69-23CF-44E3-9099-C40C66FF867C}">
                  <a14:compatExt spid="_x0000_s123949"/>
                </a:ext>
                <a:ext uri="{FF2B5EF4-FFF2-40B4-BE49-F238E27FC236}">
                  <a16:creationId xmlns:a16="http://schemas.microsoft.com/office/drawing/2014/main" id="{00000000-0008-0000-1B00-00002D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23950" name="Button 46" hidden="1">
              <a:extLst>
                <a:ext uri="{63B3BB69-23CF-44E3-9099-C40C66FF867C}">
                  <a14:compatExt spid="_x0000_s123950"/>
                </a:ext>
                <a:ext uri="{FF2B5EF4-FFF2-40B4-BE49-F238E27FC236}">
                  <a16:creationId xmlns:a16="http://schemas.microsoft.com/office/drawing/2014/main" id="{00000000-0008-0000-1B00-00002E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1" name="Button 47" hidden="1">
              <a:extLst>
                <a:ext uri="{63B3BB69-23CF-44E3-9099-C40C66FF867C}">
                  <a14:compatExt spid="_x0000_s123951"/>
                </a:ext>
                <a:ext uri="{FF2B5EF4-FFF2-40B4-BE49-F238E27FC236}">
                  <a16:creationId xmlns:a16="http://schemas.microsoft.com/office/drawing/2014/main" id="{00000000-0008-0000-1B00-00002F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2" name="Button 48" hidden="1">
              <a:extLst>
                <a:ext uri="{63B3BB69-23CF-44E3-9099-C40C66FF867C}">
                  <a14:compatExt spid="_x0000_s123952"/>
                </a:ext>
                <a:ext uri="{FF2B5EF4-FFF2-40B4-BE49-F238E27FC236}">
                  <a16:creationId xmlns:a16="http://schemas.microsoft.com/office/drawing/2014/main" id="{00000000-0008-0000-1B00-000030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3" name="Button 49" hidden="1">
              <a:extLst>
                <a:ext uri="{63B3BB69-23CF-44E3-9099-C40C66FF867C}">
                  <a14:compatExt spid="_x0000_s123953"/>
                </a:ext>
                <a:ext uri="{FF2B5EF4-FFF2-40B4-BE49-F238E27FC236}">
                  <a16:creationId xmlns:a16="http://schemas.microsoft.com/office/drawing/2014/main" id="{00000000-0008-0000-1B00-00003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23954" name="Button 50" hidden="1">
              <a:extLst>
                <a:ext uri="{63B3BB69-23CF-44E3-9099-C40C66FF867C}">
                  <a14:compatExt spid="_x0000_s123954"/>
                </a:ext>
                <a:ext uri="{FF2B5EF4-FFF2-40B4-BE49-F238E27FC236}">
                  <a16:creationId xmlns:a16="http://schemas.microsoft.com/office/drawing/2014/main" id="{00000000-0008-0000-1B00-000032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5" name="Button 51" hidden="1">
              <a:extLst>
                <a:ext uri="{63B3BB69-23CF-44E3-9099-C40C66FF867C}">
                  <a14:compatExt spid="_x0000_s123955"/>
                </a:ext>
                <a:ext uri="{FF2B5EF4-FFF2-40B4-BE49-F238E27FC236}">
                  <a16:creationId xmlns:a16="http://schemas.microsoft.com/office/drawing/2014/main" id="{00000000-0008-0000-1B00-000033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6" name="Button 52" hidden="1">
              <a:extLst>
                <a:ext uri="{63B3BB69-23CF-44E3-9099-C40C66FF867C}">
                  <a14:compatExt spid="_x0000_s123956"/>
                </a:ext>
                <a:ext uri="{FF2B5EF4-FFF2-40B4-BE49-F238E27FC236}">
                  <a16:creationId xmlns:a16="http://schemas.microsoft.com/office/drawing/2014/main" id="{00000000-0008-0000-1B00-000034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7" name="Button 53" hidden="1">
              <a:extLst>
                <a:ext uri="{63B3BB69-23CF-44E3-9099-C40C66FF867C}">
                  <a14:compatExt spid="_x0000_s123957"/>
                </a:ext>
                <a:ext uri="{FF2B5EF4-FFF2-40B4-BE49-F238E27FC236}">
                  <a16:creationId xmlns:a16="http://schemas.microsoft.com/office/drawing/2014/main" id="{00000000-0008-0000-1B00-000035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23958" name="Button 54" hidden="1">
              <a:extLst>
                <a:ext uri="{63B3BB69-23CF-44E3-9099-C40C66FF867C}">
                  <a14:compatExt spid="_x0000_s123958"/>
                </a:ext>
                <a:ext uri="{FF2B5EF4-FFF2-40B4-BE49-F238E27FC236}">
                  <a16:creationId xmlns:a16="http://schemas.microsoft.com/office/drawing/2014/main" id="{00000000-0008-0000-1B00-000036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59" name="Button 55" hidden="1">
              <a:extLst>
                <a:ext uri="{63B3BB69-23CF-44E3-9099-C40C66FF867C}">
                  <a14:compatExt spid="_x0000_s123959"/>
                </a:ext>
                <a:ext uri="{FF2B5EF4-FFF2-40B4-BE49-F238E27FC236}">
                  <a16:creationId xmlns:a16="http://schemas.microsoft.com/office/drawing/2014/main" id="{00000000-0008-0000-1B00-000037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60" name="Button 56" hidden="1">
              <a:extLst>
                <a:ext uri="{63B3BB69-23CF-44E3-9099-C40C66FF867C}">
                  <a14:compatExt spid="_x0000_s123960"/>
                </a:ext>
                <a:ext uri="{FF2B5EF4-FFF2-40B4-BE49-F238E27FC236}">
                  <a16:creationId xmlns:a16="http://schemas.microsoft.com/office/drawing/2014/main" id="{00000000-0008-0000-1B00-000038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61" name="Button 57" hidden="1">
              <a:extLst>
                <a:ext uri="{63B3BB69-23CF-44E3-9099-C40C66FF867C}">
                  <a14:compatExt spid="_x0000_s123961"/>
                </a:ext>
                <a:ext uri="{FF2B5EF4-FFF2-40B4-BE49-F238E27FC236}">
                  <a16:creationId xmlns:a16="http://schemas.microsoft.com/office/drawing/2014/main" id="{00000000-0008-0000-1B00-000039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23962" name="Button 58" hidden="1">
              <a:extLst>
                <a:ext uri="{63B3BB69-23CF-44E3-9099-C40C66FF867C}">
                  <a14:compatExt spid="_x0000_s123962"/>
                </a:ext>
                <a:ext uri="{FF2B5EF4-FFF2-40B4-BE49-F238E27FC236}">
                  <a16:creationId xmlns:a16="http://schemas.microsoft.com/office/drawing/2014/main" id="{00000000-0008-0000-1B00-00003A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C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C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C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C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C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C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C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C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C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C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C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C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C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C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C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C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C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C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C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C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C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C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C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C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C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C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C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C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C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C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C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C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C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C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C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C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C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C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C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C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C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C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C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C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C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C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C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C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C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C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C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C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C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C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C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C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C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C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10945" name="Button 1" hidden="1">
              <a:extLst>
                <a:ext uri="{63B3BB69-23CF-44E3-9099-C40C66FF867C}">
                  <a14:compatExt spid="_x0000_s210945"/>
                </a:ext>
                <a:ext uri="{FF2B5EF4-FFF2-40B4-BE49-F238E27FC236}">
                  <a16:creationId xmlns:a16="http://schemas.microsoft.com/office/drawing/2014/main" id="{00000000-0008-0000-1D00-000001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210946" name="Button 2" hidden="1">
              <a:extLst>
                <a:ext uri="{63B3BB69-23CF-44E3-9099-C40C66FF867C}">
                  <a14:compatExt spid="_x0000_s210946"/>
                </a:ext>
                <a:ext uri="{FF2B5EF4-FFF2-40B4-BE49-F238E27FC236}">
                  <a16:creationId xmlns:a16="http://schemas.microsoft.com/office/drawing/2014/main" id="{00000000-0008-0000-1D00-000002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47" name="Button 3" hidden="1">
              <a:extLst>
                <a:ext uri="{63B3BB69-23CF-44E3-9099-C40C66FF867C}">
                  <a14:compatExt spid="_x0000_s210947"/>
                </a:ext>
                <a:ext uri="{FF2B5EF4-FFF2-40B4-BE49-F238E27FC236}">
                  <a16:creationId xmlns:a16="http://schemas.microsoft.com/office/drawing/2014/main" id="{00000000-0008-0000-1D00-000003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48" name="Button 4" hidden="1">
              <a:extLst>
                <a:ext uri="{63B3BB69-23CF-44E3-9099-C40C66FF867C}">
                  <a14:compatExt spid="_x0000_s210948"/>
                </a:ext>
                <a:ext uri="{FF2B5EF4-FFF2-40B4-BE49-F238E27FC236}">
                  <a16:creationId xmlns:a16="http://schemas.microsoft.com/office/drawing/2014/main" id="{00000000-0008-0000-1D00-000004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49" name="Button 5" hidden="1">
              <a:extLst>
                <a:ext uri="{63B3BB69-23CF-44E3-9099-C40C66FF867C}">
                  <a14:compatExt spid="_x0000_s210949"/>
                </a:ext>
                <a:ext uri="{FF2B5EF4-FFF2-40B4-BE49-F238E27FC236}">
                  <a16:creationId xmlns:a16="http://schemas.microsoft.com/office/drawing/2014/main" id="{00000000-0008-0000-1D00-000005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10950" name="Button 6" hidden="1">
              <a:extLst>
                <a:ext uri="{63B3BB69-23CF-44E3-9099-C40C66FF867C}">
                  <a14:compatExt spid="_x0000_s210950"/>
                </a:ext>
                <a:ext uri="{FF2B5EF4-FFF2-40B4-BE49-F238E27FC236}">
                  <a16:creationId xmlns:a16="http://schemas.microsoft.com/office/drawing/2014/main" id="{00000000-0008-0000-1D00-0000063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3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3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300-000003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211969" name="Button 1" hidden="1">
              <a:extLst>
                <a:ext uri="{63B3BB69-23CF-44E3-9099-C40C66FF867C}">
                  <a14:compatExt spid="_x0000_s211969"/>
                </a:ext>
                <a:ext uri="{FF2B5EF4-FFF2-40B4-BE49-F238E27FC236}">
                  <a16:creationId xmlns:a16="http://schemas.microsoft.com/office/drawing/2014/main" id="{00000000-0008-0000-1E00-000001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211970" name="Button 2" hidden="1">
              <a:extLst>
                <a:ext uri="{63B3BB69-23CF-44E3-9099-C40C66FF867C}">
                  <a14:compatExt spid="_x0000_s211970"/>
                </a:ext>
                <a:ext uri="{FF2B5EF4-FFF2-40B4-BE49-F238E27FC236}">
                  <a16:creationId xmlns:a16="http://schemas.microsoft.com/office/drawing/2014/main" id="{00000000-0008-0000-1E00-000002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1" name="Button 3" hidden="1">
              <a:extLst>
                <a:ext uri="{63B3BB69-23CF-44E3-9099-C40C66FF867C}">
                  <a14:compatExt spid="_x0000_s211971"/>
                </a:ext>
                <a:ext uri="{FF2B5EF4-FFF2-40B4-BE49-F238E27FC236}">
                  <a16:creationId xmlns:a16="http://schemas.microsoft.com/office/drawing/2014/main" id="{00000000-0008-0000-1E00-000003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2" name="Button 4" hidden="1">
              <a:extLst>
                <a:ext uri="{63B3BB69-23CF-44E3-9099-C40C66FF867C}">
                  <a14:compatExt spid="_x0000_s211972"/>
                </a:ext>
                <a:ext uri="{FF2B5EF4-FFF2-40B4-BE49-F238E27FC236}">
                  <a16:creationId xmlns:a16="http://schemas.microsoft.com/office/drawing/2014/main" id="{00000000-0008-0000-1E00-000004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3" name="Button 5" hidden="1">
              <a:extLst>
                <a:ext uri="{63B3BB69-23CF-44E3-9099-C40C66FF867C}">
                  <a14:compatExt spid="_x0000_s211973"/>
                </a:ext>
                <a:ext uri="{FF2B5EF4-FFF2-40B4-BE49-F238E27FC236}">
                  <a16:creationId xmlns:a16="http://schemas.microsoft.com/office/drawing/2014/main" id="{00000000-0008-0000-1E00-000005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211974" name="Button 6" hidden="1">
              <a:extLst>
                <a:ext uri="{63B3BB69-23CF-44E3-9099-C40C66FF867C}">
                  <a14:compatExt spid="_x0000_s211974"/>
                </a:ext>
                <a:ext uri="{FF2B5EF4-FFF2-40B4-BE49-F238E27FC236}">
                  <a16:creationId xmlns:a16="http://schemas.microsoft.com/office/drawing/2014/main" id="{00000000-0008-0000-1E00-0000063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212993" name="Button 1" hidden="1">
              <a:extLst>
                <a:ext uri="{63B3BB69-23CF-44E3-9099-C40C66FF867C}">
                  <a14:compatExt spid="_x0000_s212993"/>
                </a:ext>
                <a:ext uri="{FF2B5EF4-FFF2-40B4-BE49-F238E27FC236}">
                  <a16:creationId xmlns:a16="http://schemas.microsoft.com/office/drawing/2014/main" id="{00000000-0008-0000-1F00-000001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47625</xdr:rowOff>
        </xdr:from>
        <xdr:to>
          <xdr:col>15</xdr:col>
          <xdr:colOff>542925</xdr:colOff>
          <xdr:row>74</xdr:row>
          <xdr:rowOff>104775</xdr:rowOff>
        </xdr:to>
        <xdr:sp macro="" textlink="">
          <xdr:nvSpPr>
            <xdr:cNvPr id="212994" name="Button 2" hidden="1">
              <a:extLst>
                <a:ext uri="{63B3BB69-23CF-44E3-9099-C40C66FF867C}">
                  <a14:compatExt spid="_x0000_s212994"/>
                </a:ext>
                <a:ext uri="{FF2B5EF4-FFF2-40B4-BE49-F238E27FC236}">
                  <a16:creationId xmlns:a16="http://schemas.microsoft.com/office/drawing/2014/main" id="{00000000-0008-0000-1F00-000002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5" name="Button 3" hidden="1">
              <a:extLst>
                <a:ext uri="{63B3BB69-23CF-44E3-9099-C40C66FF867C}">
                  <a14:compatExt spid="_x0000_s212995"/>
                </a:ext>
                <a:ext uri="{FF2B5EF4-FFF2-40B4-BE49-F238E27FC236}">
                  <a16:creationId xmlns:a16="http://schemas.microsoft.com/office/drawing/2014/main" id="{00000000-0008-0000-1F00-000003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6" name="Button 4" hidden="1">
              <a:extLst>
                <a:ext uri="{63B3BB69-23CF-44E3-9099-C40C66FF867C}">
                  <a14:compatExt spid="_x0000_s212996"/>
                </a:ext>
                <a:ext uri="{FF2B5EF4-FFF2-40B4-BE49-F238E27FC236}">
                  <a16:creationId xmlns:a16="http://schemas.microsoft.com/office/drawing/2014/main" id="{00000000-0008-0000-1F00-000004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7" name="Button 5" hidden="1">
              <a:extLst>
                <a:ext uri="{63B3BB69-23CF-44E3-9099-C40C66FF867C}">
                  <a14:compatExt spid="_x0000_s212997"/>
                </a:ext>
                <a:ext uri="{FF2B5EF4-FFF2-40B4-BE49-F238E27FC236}">
                  <a16:creationId xmlns:a16="http://schemas.microsoft.com/office/drawing/2014/main" id="{00000000-0008-0000-1F00-000005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212998" name="Button 6" hidden="1">
              <a:extLst>
                <a:ext uri="{63B3BB69-23CF-44E3-9099-C40C66FF867C}">
                  <a14:compatExt spid="_x0000_s212998"/>
                </a:ext>
                <a:ext uri="{FF2B5EF4-FFF2-40B4-BE49-F238E27FC236}">
                  <a16:creationId xmlns:a16="http://schemas.microsoft.com/office/drawing/2014/main" id="{00000000-0008-0000-1F00-000006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2</xdr:row>
          <xdr:rowOff>104775</xdr:rowOff>
        </xdr:from>
        <xdr:to>
          <xdr:col>6</xdr:col>
          <xdr:colOff>85725</xdr:colOff>
          <xdr:row>4</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xdr:row>
          <xdr:rowOff>28575</xdr:rowOff>
        </xdr:from>
        <xdr:to>
          <xdr:col>6</xdr:col>
          <xdr:colOff>85725</xdr:colOff>
          <xdr:row>5</xdr:row>
          <xdr:rowOff>66675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85725</xdr:rowOff>
        </xdr:from>
        <xdr:to>
          <xdr:col>6</xdr:col>
          <xdr:colOff>85725</xdr:colOff>
          <xdr:row>7</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7</xdr:row>
          <xdr:rowOff>76200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9</xdr:row>
          <xdr:rowOff>85725</xdr:rowOff>
        </xdr:from>
        <xdr:to>
          <xdr:col>6</xdr:col>
          <xdr:colOff>85725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85725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85725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12</xdr:row>
          <xdr:rowOff>85725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13</xdr:row>
          <xdr:rowOff>85725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104775</xdr:rowOff>
        </xdr:from>
        <xdr:to>
          <xdr:col>5</xdr:col>
          <xdr:colOff>0</xdr:colOff>
          <xdr:row>16</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85725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85725</xdr:rowOff>
        </xdr:from>
        <xdr:to>
          <xdr:col>5</xdr:col>
          <xdr:colOff>0</xdr:colOff>
          <xdr:row>18</xdr:row>
          <xdr:rowOff>9525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85725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85725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85725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85725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85725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85725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85725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4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4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5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5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6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83</xdr:row>
          <xdr:rowOff>38100</xdr:rowOff>
        </xdr:from>
        <xdr:to>
          <xdr:col>30</xdr:col>
          <xdr:colOff>161925</xdr:colOff>
          <xdr:row>84</xdr:row>
          <xdr:rowOff>85725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6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6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6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7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7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7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7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78</xdr:row>
          <xdr:rowOff>28575</xdr:rowOff>
        </xdr:from>
        <xdr:to>
          <xdr:col>14</xdr:col>
          <xdr:colOff>752475</xdr:colOff>
          <xdr:row>79</xdr:row>
          <xdr:rowOff>76200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7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8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87</xdr:row>
          <xdr:rowOff>38100</xdr:rowOff>
        </xdr:from>
        <xdr:to>
          <xdr:col>30</xdr:col>
          <xdr:colOff>161925</xdr:colOff>
          <xdr:row>88</xdr:row>
          <xdr:rowOff>85725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8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9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9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9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9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9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9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77.xml"/><Relationship Id="rId13" Type="http://schemas.openxmlformats.org/officeDocument/2006/relationships/ctrlProp" Target="../ctrlProps/ctrlProp582.xml"/><Relationship Id="rId18" Type="http://schemas.openxmlformats.org/officeDocument/2006/relationships/ctrlProp" Target="../ctrlProps/ctrlProp587.xml"/><Relationship Id="rId3" Type="http://schemas.openxmlformats.org/officeDocument/2006/relationships/vmlDrawing" Target="../drawings/vmlDrawing32.vml"/><Relationship Id="rId21" Type="http://schemas.openxmlformats.org/officeDocument/2006/relationships/ctrlProp" Target="../ctrlProps/ctrlProp590.xml"/><Relationship Id="rId7" Type="http://schemas.openxmlformats.org/officeDocument/2006/relationships/ctrlProp" Target="../ctrlProps/ctrlProp576.xml"/><Relationship Id="rId12" Type="http://schemas.openxmlformats.org/officeDocument/2006/relationships/ctrlProp" Target="../ctrlProps/ctrlProp581.xml"/><Relationship Id="rId17" Type="http://schemas.openxmlformats.org/officeDocument/2006/relationships/ctrlProp" Target="../ctrlProps/ctrlProp586.xml"/><Relationship Id="rId2" Type="http://schemas.openxmlformats.org/officeDocument/2006/relationships/drawing" Target="../drawings/drawing32.xml"/><Relationship Id="rId16" Type="http://schemas.openxmlformats.org/officeDocument/2006/relationships/ctrlProp" Target="../ctrlProps/ctrlProp585.xml"/><Relationship Id="rId20" Type="http://schemas.openxmlformats.org/officeDocument/2006/relationships/ctrlProp" Target="../ctrlProps/ctrlProp589.xml"/><Relationship Id="rId1" Type="http://schemas.openxmlformats.org/officeDocument/2006/relationships/printerSettings" Target="../printerSettings/printerSettings28.bin"/><Relationship Id="rId6" Type="http://schemas.openxmlformats.org/officeDocument/2006/relationships/ctrlProp" Target="../ctrlProps/ctrlProp575.xml"/><Relationship Id="rId11" Type="http://schemas.openxmlformats.org/officeDocument/2006/relationships/ctrlProp" Target="../ctrlProps/ctrlProp580.xml"/><Relationship Id="rId5" Type="http://schemas.openxmlformats.org/officeDocument/2006/relationships/ctrlProp" Target="../ctrlProps/ctrlProp574.xml"/><Relationship Id="rId15" Type="http://schemas.openxmlformats.org/officeDocument/2006/relationships/ctrlProp" Target="../ctrlProps/ctrlProp584.xml"/><Relationship Id="rId10" Type="http://schemas.openxmlformats.org/officeDocument/2006/relationships/ctrlProp" Target="../ctrlProps/ctrlProp579.xml"/><Relationship Id="rId19" Type="http://schemas.openxmlformats.org/officeDocument/2006/relationships/ctrlProp" Target="../ctrlProps/ctrlProp588.xml"/><Relationship Id="rId4" Type="http://schemas.openxmlformats.org/officeDocument/2006/relationships/ctrlProp" Target="../ctrlProps/ctrlProp573.xml"/><Relationship Id="rId9" Type="http://schemas.openxmlformats.org/officeDocument/2006/relationships/ctrlProp" Target="../ctrlProps/ctrlProp578.xml"/><Relationship Id="rId14" Type="http://schemas.openxmlformats.org/officeDocument/2006/relationships/ctrlProp" Target="../ctrlProps/ctrlProp583.xml"/><Relationship Id="rId22" Type="http://schemas.openxmlformats.org/officeDocument/2006/relationships/ctrlProp" Target="../ctrlProps/ctrlProp59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40"/>
  <sheetViews>
    <sheetView showGridLines="0" tabSelected="1" zoomScaleNormal="100" workbookViewId="0">
      <selection activeCell="B22" sqref="B22"/>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535" t="s">
        <v>89</v>
      </c>
      <c r="B1" s="536"/>
      <c r="C1" s="536"/>
      <c r="D1" s="536"/>
      <c r="E1" s="536"/>
      <c r="F1" s="536"/>
      <c r="G1" s="4"/>
      <c r="H1" s="4"/>
      <c r="I1" s="4"/>
      <c r="J1" s="4"/>
      <c r="K1" s="4"/>
      <c r="L1" s="4"/>
      <c r="M1" s="4"/>
      <c r="N1" s="4"/>
      <c r="O1" s="4"/>
    </row>
    <row r="2" spans="1:15" x14ac:dyDescent="0.2">
      <c r="A2" s="537" t="s">
        <v>282</v>
      </c>
      <c r="B2" s="538"/>
      <c r="C2" s="538"/>
      <c r="D2" s="538"/>
      <c r="E2" s="538"/>
      <c r="F2" s="538"/>
      <c r="G2" s="4" t="s">
        <v>15</v>
      </c>
      <c r="H2" s="4"/>
      <c r="I2" s="4"/>
      <c r="J2" s="4"/>
      <c r="K2" s="4"/>
      <c r="L2" s="4"/>
      <c r="M2" s="4" t="s">
        <v>15</v>
      </c>
      <c r="N2" s="4" t="s">
        <v>15</v>
      </c>
      <c r="O2" s="4" t="s">
        <v>15</v>
      </c>
    </row>
    <row r="3" spans="1:15" x14ac:dyDescent="0.2">
      <c r="A3" s="533" t="s">
        <v>24</v>
      </c>
      <c r="B3" s="533"/>
      <c r="C3" s="533"/>
      <c r="D3" s="533"/>
      <c r="E3" s="533"/>
      <c r="F3" s="533"/>
    </row>
    <row r="4" spans="1:15" x14ac:dyDescent="0.2">
      <c r="A4" s="12"/>
      <c r="B4" s="12"/>
      <c r="C4" s="12"/>
      <c r="D4" s="12"/>
      <c r="E4" s="12"/>
      <c r="F4" s="12"/>
    </row>
    <row r="5" spans="1:15" ht="65.25" customHeight="1" x14ac:dyDescent="0.2">
      <c r="A5" s="534" t="s">
        <v>202</v>
      </c>
      <c r="B5" s="534"/>
      <c r="C5" s="534"/>
      <c r="D5" s="534"/>
      <c r="E5" s="534"/>
      <c r="F5" s="534"/>
    </row>
    <row r="6" spans="1:15" x14ac:dyDescent="0.2">
      <c r="A6" s="12"/>
      <c r="B6" s="12"/>
      <c r="C6" s="12"/>
      <c r="D6" s="12"/>
      <c r="E6" s="12"/>
      <c r="F6" s="11"/>
      <c r="O6" t="s">
        <v>15</v>
      </c>
    </row>
    <row r="7" spans="1:15" x14ac:dyDescent="0.2">
      <c r="A7" s="12" t="s">
        <v>2</v>
      </c>
      <c r="B7" s="544"/>
      <c r="C7" s="545"/>
      <c r="D7" s="545"/>
      <c r="E7" s="546"/>
      <c r="F7" s="11"/>
      <c r="G7" s="1"/>
      <c r="H7" s="1"/>
      <c r="I7" s="1"/>
      <c r="J7" s="1"/>
      <c r="K7" s="1"/>
      <c r="L7" s="1"/>
    </row>
    <row r="8" spans="1:15" x14ac:dyDescent="0.2">
      <c r="A8" s="231" t="s">
        <v>258</v>
      </c>
      <c r="B8" s="540"/>
      <c r="C8" s="540"/>
      <c r="D8" s="13"/>
      <c r="E8" s="13"/>
      <c r="F8" s="13"/>
      <c r="G8" s="1"/>
      <c r="H8" s="1"/>
      <c r="I8" s="1"/>
      <c r="J8" s="1"/>
      <c r="K8" s="1"/>
      <c r="L8" s="1"/>
    </row>
    <row r="9" spans="1:15" x14ac:dyDescent="0.2">
      <c r="A9" s="231" t="s">
        <v>240</v>
      </c>
      <c r="B9" s="141">
        <v>9</v>
      </c>
      <c r="C9" s="141">
        <v>2024</v>
      </c>
      <c r="D9" s="13"/>
      <c r="E9" s="13"/>
      <c r="F9" s="13"/>
    </row>
    <row r="10" spans="1:15" x14ac:dyDescent="0.2">
      <c r="A10" s="216"/>
      <c r="B10" s="518"/>
      <c r="C10" s="518"/>
      <c r="D10" s="13"/>
      <c r="E10" s="13"/>
      <c r="F10" s="13"/>
    </row>
    <row r="11" spans="1:15" x14ac:dyDescent="0.2">
      <c r="A11" s="12"/>
      <c r="B11" s="516" t="s">
        <v>100</v>
      </c>
      <c r="C11" s="517" t="s">
        <v>90</v>
      </c>
      <c r="D11" s="224"/>
      <c r="E11" s="140"/>
      <c r="F11" s="13"/>
    </row>
    <row r="12" spans="1:15" x14ac:dyDescent="0.2">
      <c r="A12" s="12" t="s">
        <v>35</v>
      </c>
      <c r="B12" s="541" t="s">
        <v>94</v>
      </c>
      <c r="C12" s="542"/>
      <c r="D12" s="542"/>
      <c r="E12" s="542"/>
      <c r="F12" s="543"/>
    </row>
    <row r="13" spans="1:15" x14ac:dyDescent="0.2">
      <c r="A13" s="12"/>
      <c r="B13" s="12"/>
      <c r="C13" s="12"/>
      <c r="D13" s="12"/>
      <c r="E13" s="12"/>
      <c r="F13" s="12"/>
    </row>
    <row r="14" spans="1:15" x14ac:dyDescent="0.2">
      <c r="A14" s="12"/>
      <c r="B14" s="12"/>
      <c r="C14" s="12"/>
      <c r="D14" s="12"/>
      <c r="E14" s="12"/>
      <c r="F14" s="13"/>
    </row>
    <row r="15" spans="1:15" x14ac:dyDescent="0.2">
      <c r="A15" s="231" t="s">
        <v>284</v>
      </c>
      <c r="B15" s="119">
        <v>0</v>
      </c>
      <c r="C15" s="240" t="s">
        <v>45</v>
      </c>
      <c r="D15" s="11"/>
      <c r="E15" s="14"/>
      <c r="F15" s="11" t="s">
        <v>15</v>
      </c>
    </row>
    <row r="16" spans="1:15" x14ac:dyDescent="0.2">
      <c r="A16" s="231" t="s">
        <v>285</v>
      </c>
      <c r="B16" s="119">
        <v>0</v>
      </c>
      <c r="C16" s="240" t="s">
        <v>45</v>
      </c>
      <c r="D16" s="225"/>
      <c r="E16" s="64">
        <v>3</v>
      </c>
      <c r="F16" s="14" t="s">
        <v>15</v>
      </c>
      <c r="G16" s="2"/>
      <c r="H16" s="2"/>
      <c r="I16" s="2"/>
      <c r="J16" s="2"/>
      <c r="K16" s="2"/>
      <c r="L16" s="2"/>
    </row>
    <row r="17" spans="1:13" x14ac:dyDescent="0.2">
      <c r="A17" s="12" t="s">
        <v>130</v>
      </c>
      <c r="B17" s="383"/>
      <c r="C17" s="240" t="s">
        <v>45</v>
      </c>
      <c r="D17" s="225"/>
      <c r="E17" s="64">
        <v>1</v>
      </c>
      <c r="F17" s="14" t="s">
        <v>15</v>
      </c>
      <c r="G17" s="2"/>
      <c r="H17" s="2"/>
      <c r="I17" s="2"/>
      <c r="J17" s="2"/>
      <c r="K17" s="2"/>
      <c r="L17" s="2"/>
    </row>
    <row r="18" spans="1:13" x14ac:dyDescent="0.2">
      <c r="A18" s="12"/>
      <c r="B18" s="14"/>
      <c r="C18" s="14"/>
      <c r="D18" s="14"/>
      <c r="E18" s="64">
        <v>2</v>
      </c>
      <c r="F18" s="14" t="s">
        <v>15</v>
      </c>
      <c r="G18" s="2"/>
      <c r="H18" s="2"/>
      <c r="I18" s="2"/>
      <c r="J18" s="2"/>
      <c r="K18" s="2"/>
      <c r="L18" s="2"/>
    </row>
    <row r="19" spans="1:13" x14ac:dyDescent="0.2">
      <c r="A19" s="12" t="s">
        <v>76</v>
      </c>
      <c r="B19" s="211"/>
      <c r="C19" s="14"/>
      <c r="D19" s="14"/>
      <c r="E19" s="230">
        <f>IF(E17=1,1,IF(E17=2,0.98,1.01))</f>
        <v>1</v>
      </c>
      <c r="F19" s="65"/>
      <c r="G19" s="2"/>
      <c r="H19" s="2"/>
      <c r="I19" s="2"/>
      <c r="J19" s="2"/>
      <c r="K19" s="2"/>
      <c r="L19" s="2"/>
    </row>
    <row r="20" spans="1:13" x14ac:dyDescent="0.2">
      <c r="A20" s="12" t="s">
        <v>77</v>
      </c>
      <c r="B20" s="211"/>
      <c r="C20" s="14"/>
      <c r="D20" s="14"/>
      <c r="E20" s="64"/>
      <c r="F20" s="14"/>
      <c r="G20" s="2"/>
      <c r="H20" s="2"/>
      <c r="I20" s="2"/>
      <c r="J20" s="2"/>
      <c r="K20" s="2"/>
      <c r="L20" s="2"/>
    </row>
    <row r="21" spans="1:13" x14ac:dyDescent="0.2">
      <c r="A21" s="12"/>
      <c r="B21" s="14"/>
      <c r="C21" s="14"/>
      <c r="D21" s="14"/>
      <c r="E21" s="64"/>
      <c r="F21" s="14"/>
      <c r="G21" s="2"/>
      <c r="H21" s="2"/>
      <c r="I21" s="2"/>
      <c r="J21" s="2"/>
      <c r="K21" s="2"/>
      <c r="L21" s="2"/>
    </row>
    <row r="22" spans="1:13" x14ac:dyDescent="0.2">
      <c r="A22" s="12" t="s">
        <v>87</v>
      </c>
      <c r="B22" s="119"/>
      <c r="C22" s="229" t="s">
        <v>41</v>
      </c>
      <c r="D22" s="14"/>
      <c r="E22" s="64"/>
      <c r="F22" s="14"/>
      <c r="G22" s="2"/>
      <c r="H22" s="2"/>
      <c r="I22" s="2"/>
      <c r="J22" s="2"/>
      <c r="K22" s="2"/>
      <c r="L22" s="2"/>
    </row>
    <row r="23" spans="1:13" x14ac:dyDescent="0.2">
      <c r="A23" s="12" t="s">
        <v>88</v>
      </c>
      <c r="B23" s="119"/>
      <c r="C23" s="229" t="s">
        <v>41</v>
      </c>
      <c r="D23" s="14"/>
      <c r="E23" s="64"/>
      <c r="F23" s="14"/>
      <c r="G23" s="2"/>
      <c r="H23" s="2"/>
      <c r="I23" s="2"/>
      <c r="J23" s="2"/>
      <c r="K23" s="2"/>
      <c r="L23" s="2"/>
    </row>
    <row r="24" spans="1:13" x14ac:dyDescent="0.2">
      <c r="A24" s="231" t="s">
        <v>283</v>
      </c>
      <c r="B24" s="119"/>
      <c r="C24" s="229" t="s">
        <v>41</v>
      </c>
      <c r="D24" s="229"/>
      <c r="E24" s="64"/>
      <c r="F24" s="14"/>
      <c r="G24" s="2"/>
      <c r="H24" s="2"/>
      <c r="I24" s="2"/>
      <c r="J24" s="2"/>
      <c r="K24" s="2"/>
      <c r="L24" s="2"/>
    </row>
    <row r="25" spans="1:13" x14ac:dyDescent="0.2">
      <c r="A25" s="12"/>
      <c r="B25" s="14"/>
      <c r="C25" s="14"/>
      <c r="D25" s="229"/>
      <c r="E25" s="231" t="s">
        <v>15</v>
      </c>
      <c r="F25" s="216"/>
      <c r="G25" s="2"/>
      <c r="H25" s="2"/>
      <c r="I25" s="2"/>
      <c r="J25" s="2"/>
      <c r="K25" s="2"/>
      <c r="L25" s="2"/>
      <c r="M25" s="217"/>
    </row>
    <row r="26" spans="1:13" x14ac:dyDescent="0.2">
      <c r="A26" s="12"/>
      <c r="B26" s="14"/>
      <c r="C26" s="14"/>
      <c r="D26" s="229"/>
      <c r="E26" s="219"/>
      <c r="F26" s="216"/>
    </row>
    <row r="27" spans="1:13" x14ac:dyDescent="0.2">
      <c r="A27" s="12" t="s">
        <v>127</v>
      </c>
      <c r="B27" s="122"/>
      <c r="C27" s="229" t="s">
        <v>126</v>
      </c>
      <c r="D27" s="229"/>
      <c r="E27" s="236"/>
      <c r="F27" s="218"/>
      <c r="G27" s="2"/>
      <c r="H27" s="2"/>
      <c r="I27" s="2"/>
      <c r="J27" s="2"/>
      <c r="K27" s="2"/>
      <c r="L27" s="2"/>
    </row>
    <row r="28" spans="1:13" x14ac:dyDescent="0.2">
      <c r="A28" s="12" t="s">
        <v>52</v>
      </c>
      <c r="B28" s="122">
        <v>0</v>
      </c>
      <c r="C28" s="229" t="s">
        <v>46</v>
      </c>
      <c r="D28" s="229"/>
      <c r="E28" s="231"/>
      <c r="F28" s="14" t="s">
        <v>15</v>
      </c>
      <c r="G28" s="2"/>
      <c r="H28" s="2"/>
      <c r="I28" s="2"/>
      <c r="J28" s="2"/>
      <c r="K28" s="2"/>
      <c r="L28" s="2"/>
    </row>
    <row r="29" spans="1:13" x14ac:dyDescent="0.2">
      <c r="A29" s="12"/>
      <c r="B29" s="14"/>
      <c r="C29" s="14"/>
      <c r="D29" s="229"/>
      <c r="E29" s="231"/>
      <c r="F29" s="14" t="s">
        <v>15</v>
      </c>
      <c r="G29" s="2"/>
      <c r="H29" s="2"/>
      <c r="I29" s="2"/>
      <c r="J29" s="2"/>
      <c r="K29" s="2"/>
      <c r="L29" s="2"/>
    </row>
    <row r="30" spans="1:13" x14ac:dyDescent="0.2">
      <c r="A30" s="12" t="s">
        <v>0</v>
      </c>
      <c r="B30" s="57"/>
      <c r="C30" s="232" t="s">
        <v>131</v>
      </c>
      <c r="D30" s="233">
        <f>IF(ISNUMBER(B30),B30,IF(ISNUMBER(B28),(IF(ABS(B22+B23)&gt;0,ROUND(COS(ATAN(B28/(B22+B23))),3),1)),1))</f>
        <v>1</v>
      </c>
      <c r="E30" s="231"/>
      <c r="F30" s="14" t="s">
        <v>15</v>
      </c>
      <c r="G30" s="2"/>
      <c r="H30" s="2"/>
      <c r="I30" s="2"/>
      <c r="J30" s="2"/>
      <c r="K30" s="2"/>
      <c r="L30" s="2"/>
    </row>
    <row r="31" spans="1:13" x14ac:dyDescent="0.2">
      <c r="A31" s="12"/>
      <c r="B31" s="14"/>
      <c r="C31" s="14"/>
      <c r="D31" s="234">
        <f>IF(D30&lt;&gt;0,SIGN(D30)*ROUND(1/D30,3),0)</f>
        <v>1</v>
      </c>
      <c r="E31" s="12"/>
      <c r="F31" s="65"/>
      <c r="G31" s="2"/>
      <c r="H31" s="2"/>
      <c r="I31" s="2"/>
      <c r="J31" s="2"/>
      <c r="K31" s="2"/>
      <c r="L31" s="2"/>
    </row>
    <row r="32" spans="1:13" ht="12" customHeight="1" x14ac:dyDescent="0.2">
      <c r="A32" s="62"/>
      <c r="B32" s="213"/>
      <c r="C32" s="248"/>
      <c r="D32" s="235"/>
      <c r="E32" s="12" t="s">
        <v>15</v>
      </c>
      <c r="F32" s="216"/>
      <c r="G32" s="2"/>
      <c r="H32" s="2"/>
      <c r="I32" s="2"/>
      <c r="J32" s="2"/>
      <c r="K32" s="2"/>
      <c r="L32" s="2"/>
    </row>
    <row r="33" spans="1:6" ht="12.75" customHeight="1" x14ac:dyDescent="0.2">
      <c r="A33" s="63" t="s">
        <v>125</v>
      </c>
      <c r="B33" s="213"/>
      <c r="C33" s="248" t="b">
        <v>0</v>
      </c>
      <c r="D33" s="235"/>
      <c r="E33" s="231"/>
      <c r="F33" s="231"/>
    </row>
    <row r="34" spans="1:6" ht="12" customHeight="1" x14ac:dyDescent="0.2">
      <c r="A34" s="63" t="s">
        <v>128</v>
      </c>
      <c r="B34" s="214"/>
      <c r="C34" s="248" t="b">
        <v>0</v>
      </c>
      <c r="D34" s="235"/>
      <c r="E34" s="231"/>
      <c r="F34" s="231"/>
    </row>
    <row r="35" spans="1:6" x14ac:dyDescent="0.2">
      <c r="A35" s="256" t="s">
        <v>224</v>
      </c>
      <c r="B35" s="214"/>
      <c r="C35" s="257" t="b">
        <v>0</v>
      </c>
      <c r="D35" s="215"/>
      <c r="E35" s="12"/>
      <c r="F35" s="216"/>
    </row>
    <row r="36" spans="1:6" ht="12" customHeight="1" x14ac:dyDescent="0.2">
      <c r="A36" s="63"/>
      <c r="B36" s="74"/>
      <c r="C36" s="215"/>
      <c r="D36" s="215"/>
      <c r="E36" s="12"/>
      <c r="F36" s="216"/>
    </row>
    <row r="37" spans="1:6" x14ac:dyDescent="0.2">
      <c r="A37" s="539" t="s">
        <v>25</v>
      </c>
      <c r="B37" s="539"/>
      <c r="C37" s="539"/>
      <c r="D37" s="223"/>
      <c r="E37" s="231"/>
      <c r="F37" s="289" t="s">
        <v>345</v>
      </c>
    </row>
    <row r="38" spans="1:6" x14ac:dyDescent="0.2">
      <c r="A38" s="12"/>
      <c r="B38" s="12"/>
      <c r="C38" s="12"/>
      <c r="D38" s="12"/>
      <c r="E38" s="12"/>
      <c r="F38" s="244"/>
    </row>
    <row r="40" spans="1:6" x14ac:dyDescent="0.2">
      <c r="B40" s="3"/>
    </row>
  </sheetData>
  <sheetProtection algorithmName="SHA-512" hashValue="aLDOKBNY40v/53BGRl85S+vf/7+/lGHI+WiOF6Twxqs1ocgyyzQnB2/V8yUU8CzeRQFw/W0lz7XfWeT3NMGgug==" saltValue="r8DUe8m0ytLUebMiRvStaw==" spinCount="100000" sheet="1" selectLockedCells="1"/>
  <mergeCells count="8">
    <mergeCell ref="A3:F3"/>
    <mergeCell ref="A5:F5"/>
    <mergeCell ref="A1:F1"/>
    <mergeCell ref="A2:F2"/>
    <mergeCell ref="A37:C37"/>
    <mergeCell ref="B8:C8"/>
    <mergeCell ref="B12:F12"/>
    <mergeCell ref="B7:E7"/>
  </mergeCells>
  <phoneticPr fontId="0" type="noConversion"/>
  <dataValidations count="1">
    <dataValidation type="custom" allowBlank="1" showInputMessage="1" showErrorMessage="1" errorTitle="Shopping Customer" error="Only customers who indicate that they elect to receive generation from a 3rd party supplier will enter a value in this cell. " sqref="B10" xr:uid="{6E78CC20-86E9-4BAD-9EC1-EED15467EFB1}">
      <formula1>#REF!="Yes"</formula1>
    </dataValidation>
  </dataValidations>
  <hyperlinks>
    <hyperlink ref="M14:N14" location="'Bundled GS-2 Subtran-Trans'!A1" display="GS-2 Sub Bundled" xr:uid="{00000000-0004-0000-0000-000000000000}"/>
    <hyperlink ref="M24:N24" location="'Bundled GS-3 Subtran-Trans'!A1" display="GS-3 Subtrans/Trans Bundled" xr:uid="{00000000-0004-0000-0000-000001000000}"/>
    <hyperlink ref="G26:M26" location="'Bundled GS-4 Pri'!A1" display="GS-4 Pri Bundled" xr:uid="{00000000-0004-0000-0000-000002000000}"/>
    <hyperlink ref="M18:N18" location="'Bundled GS-3 Pri'!A1" display="GS-3 Pri Bundled" xr:uid="{00000000-0004-0000-0000-000003000000}"/>
    <hyperlink ref="M17:N17" location="'Bundled GS-3 Sec'!A1" display="GS-3 Sec Bundled" xr:uid="{00000000-0004-0000-0000-000004000000}"/>
    <hyperlink ref="M16:N16" location="'Bundled GS-TOD Sec'!Print_Area" display="GS-TOD Bundled" xr:uid="{00000000-0004-0000-0000-000005000000}"/>
    <hyperlink ref="M12:N12" location="'Bundled GS-2 Pri'!A1" display="GS-2 Pri Bundled" xr:uid="{00000000-0004-0000-0000-000006000000}"/>
    <hyperlink ref="M11:N11"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32"/>
    <cellWatch r="G25"/>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5"/>
  <sheetViews>
    <sheetView showGridLines="0" topLeftCell="A21" zoomScale="80" zoomScaleNormal="80" workbookViewId="0">
      <selection activeCell="A26" sqref="A26:A54"/>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83</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5"/>
      <c r="B5" s="75"/>
      <c r="C5" s="75"/>
      <c r="D5" s="75"/>
      <c r="E5" s="75"/>
      <c r="F5" s="75"/>
      <c r="G5" s="75"/>
      <c r="H5" s="75"/>
      <c r="I5" s="75"/>
      <c r="J5" s="75"/>
      <c r="K5" s="75"/>
    </row>
    <row r="6" spans="1:30" x14ac:dyDescent="0.2">
      <c r="A6" s="76">
        <f ca="1">TODAY()</f>
        <v>45532</v>
      </c>
      <c r="B6" s="210" t="s">
        <v>259</v>
      </c>
      <c r="C6" s="76"/>
      <c r="D6" s="76"/>
      <c r="E6" s="76"/>
      <c r="F6" s="76"/>
      <c r="G6" s="76"/>
      <c r="H6" s="76"/>
      <c r="I6" s="76"/>
    </row>
    <row r="7" spans="1:30" ht="26.25" x14ac:dyDescent="0.4">
      <c r="A7" s="566"/>
      <c r="B7" s="566"/>
      <c r="C7" s="566"/>
      <c r="D7" s="566"/>
      <c r="E7" s="566"/>
      <c r="F7" s="566"/>
      <c r="G7" s="566"/>
      <c r="H7" s="566"/>
      <c r="I7" s="566"/>
      <c r="J7" s="566"/>
      <c r="K7" s="566"/>
      <c r="L7" s="566"/>
      <c r="M7" s="566"/>
      <c r="N7" s="566"/>
      <c r="O7" s="566"/>
      <c r="P7" s="56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560" t="s">
        <v>67</v>
      </c>
      <c r="H19" s="561"/>
      <c r="I19" s="561"/>
      <c r="J19" s="562"/>
      <c r="K19" s="22"/>
      <c r="L19" s="563" t="s">
        <v>68</v>
      </c>
      <c r="M19" s="563"/>
      <c r="N19" s="563"/>
      <c r="O19" s="563"/>
    </row>
    <row r="20" spans="1:221" x14ac:dyDescent="0.2">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t="s">
        <v>132</v>
      </c>
      <c r="D22" s="1">
        <f>C15</f>
        <v>0</v>
      </c>
      <c r="E22" s="35" t="s">
        <v>41</v>
      </c>
      <c r="F22" s="4" t="s">
        <v>8</v>
      </c>
      <c r="G22" s="84"/>
      <c r="H22" s="84"/>
      <c r="I22" s="84">
        <v>2.30262E-2</v>
      </c>
      <c r="J22" s="84">
        <f>SUM(G22:I22)</f>
        <v>2.30262E-2</v>
      </c>
      <c r="K22" s="36" t="s">
        <v>42</v>
      </c>
      <c r="L22" s="87"/>
      <c r="M22" s="87"/>
      <c r="N22" s="87">
        <f>IF(C15&lt;0,0,ROUND($D22*I22,2))</f>
        <v>0</v>
      </c>
      <c r="O22" s="209">
        <f>SUM(L22:N22)</f>
        <v>0</v>
      </c>
      <c r="P22" s="245">
        <v>45261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7" si="0">SUM(G27:I27)</f>
        <v>5.9216E-3</v>
      </c>
      <c r="K27" s="104" t="s">
        <v>42</v>
      </c>
      <c r="L27" s="105"/>
      <c r="M27" s="105"/>
      <c r="N27" s="105">
        <f t="shared" ref="N27:N32" si="1">ROUND(D27*I27,2)</f>
        <v>0</v>
      </c>
      <c r="O27" s="105">
        <f t="shared" ref="O27:O48"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'Customer Info'!$B$22+'Customer Info'!$B$23-'Customer Info'!$B$24</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Info'!$B$22+'Customer Info'!$B$23-'Customer Info'!$B$24</f>
        <v>0</v>
      </c>
      <c r="E35" s="101" t="s">
        <v>41</v>
      </c>
      <c r="F35" s="102" t="s">
        <v>8</v>
      </c>
      <c r="G35" s="103">
        <f>'Rider Rates'!$B$36</f>
        <v>2.7299999999999998E-3</v>
      </c>
      <c r="H35" s="103"/>
      <c r="I35" s="103"/>
      <c r="J35" s="237">
        <f>SUM(G35:H35)</f>
        <v>2.7299999999999998E-3</v>
      </c>
      <c r="K35" s="104" t="s">
        <v>42</v>
      </c>
      <c r="L35" s="105">
        <f>ROUND(D35*G35,2)</f>
        <v>0</v>
      </c>
      <c r="M35" s="105"/>
      <c r="N35" s="105"/>
      <c r="O35" s="105">
        <f t="shared" si="3"/>
        <v>0</v>
      </c>
      <c r="P35" s="245">
        <f>'Rider Rates'!$D$36</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201</v>
      </c>
      <c r="B36" s="78"/>
      <c r="C36" s="78"/>
      <c r="D36" s="100">
        <f>'Customer Info'!$B$22+'Customer Info'!$B$23-'Customer Info'!$B$24</f>
        <v>0</v>
      </c>
      <c r="E36" s="101" t="s">
        <v>41</v>
      </c>
      <c r="F36" s="102" t="s">
        <v>8</v>
      </c>
      <c r="G36" s="103">
        <f>'Rider Rates'!$B$49</f>
        <v>-3.1569999999999998E-4</v>
      </c>
      <c r="H36" s="103"/>
      <c r="I36" s="103"/>
      <c r="J36" s="237">
        <f>SUM(G36:H36)</f>
        <v>-3.1569999999999998E-4</v>
      </c>
      <c r="K36" s="104" t="s">
        <v>42</v>
      </c>
      <c r="L36" s="105">
        <f>ROUND(D36*G36,2)</f>
        <v>0</v>
      </c>
      <c r="M36" s="105"/>
      <c r="N36" s="105"/>
      <c r="O36" s="105">
        <f t="shared" si="3"/>
        <v>0</v>
      </c>
      <c r="P36" s="245">
        <f>'Rider Rates'!$D$49</f>
        <v>45471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218</v>
      </c>
      <c r="B37" s="78"/>
      <c r="C37" s="78"/>
      <c r="D37" s="100">
        <f>IF($C$15&lt;0,0,IF($C$15&gt;833000,833000,$C$15))</f>
        <v>0</v>
      </c>
      <c r="E37" s="101" t="s">
        <v>41</v>
      </c>
      <c r="F37" s="102" t="s">
        <v>8</v>
      </c>
      <c r="G37" s="103"/>
      <c r="H37" s="103"/>
      <c r="I37" s="103">
        <f>'Rider Rates'!D53</f>
        <v>1.8006999999999999E-3</v>
      </c>
      <c r="J37" s="103">
        <f>SUM(G37:I37)</f>
        <v>1.8006999999999999E-3</v>
      </c>
      <c r="K37" s="104" t="s">
        <v>42</v>
      </c>
      <c r="L37" s="105"/>
      <c r="M37" s="105"/>
      <c r="N37" s="105">
        <f>D37*J37</f>
        <v>0</v>
      </c>
      <c r="O37" s="105">
        <f t="shared" si="3"/>
        <v>0</v>
      </c>
      <c r="P37" s="245">
        <f>'Rider Rates'!E53</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197</v>
      </c>
      <c r="B38" s="78"/>
      <c r="C38" s="78"/>
      <c r="D38" s="100">
        <f>IF($C$15&lt;0,0,$C$15)</f>
        <v>0</v>
      </c>
      <c r="E38" s="113" t="s">
        <v>41</v>
      </c>
      <c r="F38" s="102" t="s">
        <v>8</v>
      </c>
      <c r="G38" s="103"/>
      <c r="H38" s="103">
        <f>'Rider Rates'!$B$60</f>
        <v>2.3467399999999999E-2</v>
      </c>
      <c r="I38" s="103"/>
      <c r="J38" s="103">
        <f>SUM(G38:I38)</f>
        <v>2.3467399999999999E-2</v>
      </c>
      <c r="K38" s="104" t="s">
        <v>42</v>
      </c>
      <c r="L38" s="105"/>
      <c r="M38" s="105">
        <f>ROUND(D38*H38,2)</f>
        <v>0</v>
      </c>
      <c r="N38" s="205"/>
      <c r="O38" s="105">
        <f t="shared" si="3"/>
        <v>0</v>
      </c>
      <c r="P38" s="245">
        <f>'Rider Rates'!$D$60</f>
        <v>45383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95</v>
      </c>
      <c r="B39" s="78"/>
      <c r="C39" s="78"/>
      <c r="D39" s="100">
        <f>IF('Customer Info'!C35=TRUE,0,IF($C$15&lt;0,0,$C$15))</f>
        <v>0</v>
      </c>
      <c r="E39" s="101" t="s">
        <v>41</v>
      </c>
      <c r="F39" s="102" t="s">
        <v>8</v>
      </c>
      <c r="G39" s="103"/>
      <c r="H39" s="103"/>
      <c r="I39" s="103">
        <f>'Rider Rates'!$B$74+'Rider Rates'!$C$74</f>
        <v>0</v>
      </c>
      <c r="J39" s="103">
        <f t="shared" si="0"/>
        <v>0</v>
      </c>
      <c r="K39" s="104" t="s">
        <v>42</v>
      </c>
      <c r="L39" s="105"/>
      <c r="M39" s="105"/>
      <c r="N39" s="105">
        <f>ROUND($D$39*'Rider Rates'!$B$74,2)+ROUND($D$39*'Rider Rates'!$C$74,2)</f>
        <v>0</v>
      </c>
      <c r="O39" s="105">
        <f t="shared" si="2"/>
        <v>0</v>
      </c>
      <c r="P39" s="245">
        <f>'Rider Rates'!$D$74</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c r="E40" s="101" t="s">
        <v>114</v>
      </c>
      <c r="F40" s="102"/>
      <c r="G40" s="103"/>
      <c r="H40" s="103"/>
      <c r="I40" s="196">
        <f>'Rider Rates'!$B$81</f>
        <v>0</v>
      </c>
      <c r="J40" s="196">
        <f>IF('Customer Info'!C35=TRUE,0,SUM(G40:I40))</f>
        <v>0</v>
      </c>
      <c r="K40" s="104"/>
      <c r="L40" s="105"/>
      <c r="M40" s="105"/>
      <c r="N40" s="105">
        <f>J40</f>
        <v>0</v>
      </c>
      <c r="O40" s="105">
        <f>SUM(L40:N40)</f>
        <v>0</v>
      </c>
      <c r="P40" s="245">
        <f>'Rider Rates'!$D$81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80</v>
      </c>
      <c r="B41" s="78"/>
      <c r="C41" s="78"/>
      <c r="D41" s="195">
        <f>$N$23</f>
        <v>9.4</v>
      </c>
      <c r="E41" s="101" t="s">
        <v>121</v>
      </c>
      <c r="F41" s="102" t="s">
        <v>8</v>
      </c>
      <c r="G41" s="111"/>
      <c r="H41" s="112"/>
      <c r="I41" s="120">
        <f>'Rider Rates'!$B$89</f>
        <v>2.9347000000000002E-2</v>
      </c>
      <c r="J41" s="120">
        <f t="shared" si="0"/>
        <v>2.9347000000000002E-2</v>
      </c>
      <c r="K41" s="104"/>
      <c r="L41" s="105"/>
      <c r="M41" s="105"/>
      <c r="N41" s="105">
        <f>ROUND(D41*I41,2)</f>
        <v>0.28000000000000003</v>
      </c>
      <c r="O41" s="105">
        <f t="shared" si="2"/>
        <v>0.28000000000000003</v>
      </c>
      <c r="P41" s="245">
        <f>'Rider Rates'!$D$89</f>
        <v>45383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121</v>
      </c>
      <c r="F42" s="102" t="s">
        <v>8</v>
      </c>
      <c r="G42" s="114"/>
      <c r="H42" s="115"/>
      <c r="I42" s="120">
        <f>'Rider Rates'!$B$91</f>
        <v>6.6985699999999995E-2</v>
      </c>
      <c r="J42" s="120">
        <f t="shared" si="0"/>
        <v>6.6985699999999995E-2</v>
      </c>
      <c r="K42" s="104"/>
      <c r="L42" s="105"/>
      <c r="M42" s="105"/>
      <c r="N42" s="105">
        <f>ROUND(D42*I42,2)</f>
        <v>0.63</v>
      </c>
      <c r="O42" s="105">
        <f t="shared" si="2"/>
        <v>0.63</v>
      </c>
      <c r="P42" s="245">
        <f>'Rider Rates'!$D$91</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214</v>
      </c>
      <c r="B43" s="78"/>
      <c r="C43" s="78"/>
      <c r="D43" s="195"/>
      <c r="E43" s="113" t="s">
        <v>114</v>
      </c>
      <c r="F43" s="106"/>
      <c r="G43" s="114"/>
      <c r="H43" s="115"/>
      <c r="I43" s="196">
        <f>'Rider Rates'!$B$95</f>
        <v>11.97</v>
      </c>
      <c r="J43" s="196">
        <f t="shared" si="0"/>
        <v>11.97</v>
      </c>
      <c r="K43" s="104"/>
      <c r="L43" s="105"/>
      <c r="M43" s="105"/>
      <c r="N43" s="105">
        <f>I43</f>
        <v>11.97</v>
      </c>
      <c r="O43" s="105">
        <f t="shared" si="2"/>
        <v>11.97</v>
      </c>
      <c r="P43" s="245">
        <f>'Rider Rates'!$D$95</f>
        <v>45442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247</v>
      </c>
      <c r="B44" s="78"/>
      <c r="C44" s="78"/>
      <c r="D44" s="100">
        <f>IF($C$15&lt;0,0,$C$15)</f>
        <v>0</v>
      </c>
      <c r="E44" s="101" t="s">
        <v>41</v>
      </c>
      <c r="F44" s="102" t="s">
        <v>8</v>
      </c>
      <c r="G44" s="103"/>
      <c r="H44" s="103"/>
      <c r="I44" s="103"/>
      <c r="J44" s="103">
        <f>'Rider Rates'!$B$99</f>
        <v>0</v>
      </c>
      <c r="K44" s="104" t="s">
        <v>42</v>
      </c>
      <c r="L44" s="105"/>
      <c r="M44" s="105"/>
      <c r="N44" s="105"/>
      <c r="O44" s="105">
        <f>ROUND($D44*('Rider Rates'!B$99),2)</f>
        <v>0</v>
      </c>
      <c r="P44" s="245">
        <f>'Rider Rates'!$D$99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121</v>
      </c>
      <c r="F45" s="102" t="s">
        <v>8</v>
      </c>
      <c r="G45" s="114"/>
      <c r="H45" s="115"/>
      <c r="I45" s="120">
        <f>'Rider Rates'!$B$109</f>
        <v>0.211176</v>
      </c>
      <c r="J45" s="120">
        <f t="shared" si="0"/>
        <v>0.211176</v>
      </c>
      <c r="K45" s="104"/>
      <c r="L45" s="105"/>
      <c r="M45" s="105"/>
      <c r="N45" s="105">
        <f>ROUND(D45*I45,2)</f>
        <v>1.99</v>
      </c>
      <c r="O45" s="105">
        <f t="shared" si="2"/>
        <v>1.99</v>
      </c>
      <c r="P45" s="245">
        <f>'Rider Rates'!$D$109</f>
        <v>45532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114</v>
      </c>
      <c r="F46" s="106"/>
      <c r="G46" s="114"/>
      <c r="H46" s="115"/>
      <c r="I46" s="196">
        <f>'Rider Rates'!$B$113</f>
        <v>0</v>
      </c>
      <c r="J46" s="196">
        <f t="shared" si="0"/>
        <v>0</v>
      </c>
      <c r="K46" s="104"/>
      <c r="L46" s="105"/>
      <c r="M46" s="105"/>
      <c r="N46" s="105">
        <f>I46</f>
        <v>0</v>
      </c>
      <c r="O46" s="105">
        <f t="shared" si="2"/>
        <v>0</v>
      </c>
      <c r="P46" s="245">
        <f>'Rider Rates'!$D$113</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225</v>
      </c>
      <c r="B47" s="78"/>
      <c r="C47" s="78"/>
      <c r="D47" s="195"/>
      <c r="E47" s="113" t="s">
        <v>114</v>
      </c>
      <c r="F47" s="106"/>
      <c r="G47" s="114"/>
      <c r="H47" s="115"/>
      <c r="I47" s="258">
        <f>'Rider Rates'!B126</f>
        <v>5.83</v>
      </c>
      <c r="J47" s="196">
        <f t="shared" si="0"/>
        <v>5.83</v>
      </c>
      <c r="K47" s="104"/>
      <c r="L47" s="105"/>
      <c r="M47" s="105"/>
      <c r="N47" s="260">
        <f>I47</f>
        <v>5.83</v>
      </c>
      <c r="O47" s="105">
        <f t="shared" si="2"/>
        <v>5.83</v>
      </c>
      <c r="P47" s="245">
        <f>'Rider Rates'!D126</f>
        <v>45226</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Info'!$B$22+'Customer Info'!$B$23-'Customer Info'!$B$24</f>
        <v>0</v>
      </c>
      <c r="E48" s="101" t="s">
        <v>41</v>
      </c>
      <c r="F48" s="102" t="s">
        <v>8</v>
      </c>
      <c r="G48" s="103">
        <f>'Rider Rates'!$B$116</f>
        <v>3.8972999999999998E-3</v>
      </c>
      <c r="H48" s="103"/>
      <c r="I48" s="120"/>
      <c r="J48" s="237">
        <f>SUM(G48:H48)</f>
        <v>3.8972999999999998E-3</v>
      </c>
      <c r="K48" s="104" t="s">
        <v>42</v>
      </c>
      <c r="L48" s="105">
        <f>ROUND(D48*G48,2)</f>
        <v>0</v>
      </c>
      <c r="M48" s="105"/>
      <c r="N48" s="105"/>
      <c r="O48" s="105">
        <f t="shared" si="2"/>
        <v>0</v>
      </c>
      <c r="P48" s="245">
        <f>'Rider Rates'!$D$116</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216</v>
      </c>
      <c r="B49" s="78"/>
      <c r="C49" s="78"/>
      <c r="D49" s="100">
        <f>IF($C$15&lt;1,0,$C$15)</f>
        <v>0</v>
      </c>
      <c r="E49" s="101" t="s">
        <v>41</v>
      </c>
      <c r="F49" s="249" t="s">
        <v>8</v>
      </c>
      <c r="G49" s="165"/>
      <c r="H49" s="165"/>
      <c r="I49" s="251">
        <f>'Rider Rates'!B122</f>
        <v>-6.2E-4</v>
      </c>
      <c r="J49" s="251">
        <f>SUM(G49:I49)</f>
        <v>-6.2E-4</v>
      </c>
      <c r="K49" s="104" t="s">
        <v>42</v>
      </c>
      <c r="L49" s="105"/>
      <c r="M49" s="105"/>
      <c r="N49" s="105">
        <f>D49*J49</f>
        <v>0</v>
      </c>
      <c r="O49" s="105">
        <f>SUM(L49:N49)</f>
        <v>0</v>
      </c>
      <c r="P49" s="245">
        <f>'Rider Rates'!D122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241</v>
      </c>
      <c r="B50" s="78"/>
      <c r="C50" s="78"/>
      <c r="D50" s="100">
        <f>IF(C15&lt;0,0,IF(C15&gt;833000,833000,C15))</f>
        <v>0</v>
      </c>
      <c r="E50" s="101" t="s">
        <v>41</v>
      </c>
      <c r="F50" s="102" t="s">
        <v>8</v>
      </c>
      <c r="G50" s="265"/>
      <c r="H50" s="265"/>
      <c r="I50" s="265">
        <f>'Rider Rates'!B130</f>
        <v>2.9050000000000001E-4</v>
      </c>
      <c r="J50" s="265">
        <f>SUM(G50:I50)</f>
        <v>2.9050000000000001E-4</v>
      </c>
      <c r="K50" s="104" t="s">
        <v>42</v>
      </c>
      <c r="L50" s="266"/>
      <c r="M50" s="266"/>
      <c r="N50" s="266">
        <f>IF(D50*J50&gt;'Rider Rates'!$C$130,'Rider Rates'!$C$130,D50*J50)</f>
        <v>0</v>
      </c>
      <c r="O50" s="266">
        <f>SUM(L50:N50)</f>
        <v>0</v>
      </c>
      <c r="P50" s="264">
        <f>'Rider Rates'!$E$130</f>
        <v>45292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242</v>
      </c>
      <c r="B51" s="78"/>
      <c r="C51" s="78"/>
      <c r="D51" s="123">
        <f>IF(C15&gt;833000,C15-833000,0)</f>
        <v>0</v>
      </c>
      <c r="E51" s="101" t="s">
        <v>41</v>
      </c>
      <c r="F51" s="102" t="s">
        <v>8</v>
      </c>
      <c r="G51" s="265"/>
      <c r="H51" s="265"/>
      <c r="I51" s="265">
        <f>'Rider Rates'!B131</f>
        <v>0</v>
      </c>
      <c r="J51" s="265">
        <f>SUM(G51:I51)</f>
        <v>0</v>
      </c>
      <c r="K51" s="104" t="s">
        <v>42</v>
      </c>
      <c r="L51" s="266"/>
      <c r="M51" s="266"/>
      <c r="N51" s="266">
        <f>D51*J51</f>
        <v>0</v>
      </c>
      <c r="O51" s="266">
        <f>SUM(L51:N51)</f>
        <v>0</v>
      </c>
      <c r="P51" s="264">
        <f>'Rider Rates'!$E$131</f>
        <v>44927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250</v>
      </c>
      <c r="B52" s="78"/>
      <c r="C52" s="78"/>
      <c r="D52" s="100">
        <f>C15</f>
        <v>0</v>
      </c>
      <c r="E52" s="101" t="s">
        <v>41</v>
      </c>
      <c r="F52" s="249" t="s">
        <v>8</v>
      </c>
      <c r="G52" s="103"/>
      <c r="H52" s="103"/>
      <c r="I52" s="103">
        <f>'Rider Rates'!$B$135</f>
        <v>0</v>
      </c>
      <c r="J52" s="237">
        <f>SUM(G52:I52)</f>
        <v>0</v>
      </c>
      <c r="K52" s="104" t="s">
        <v>42</v>
      </c>
      <c r="L52" s="105"/>
      <c r="M52" s="105"/>
      <c r="N52" s="105">
        <f>D52*J52</f>
        <v>0</v>
      </c>
      <c r="O52" s="105">
        <f>SUM(L52:N52)</f>
        <v>0</v>
      </c>
      <c r="P52" s="245">
        <f>'Rider Rates'!$D$135</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249</v>
      </c>
      <c r="B53" s="78"/>
      <c r="C53" s="78"/>
      <c r="D53" s="100"/>
      <c r="E53" s="101" t="s">
        <v>114</v>
      </c>
      <c r="F53" s="102" t="s">
        <v>8</v>
      </c>
      <c r="G53" s="263"/>
      <c r="H53" s="263"/>
      <c r="I53" s="263">
        <f>'Rider Rates'!$B$142</f>
        <v>0</v>
      </c>
      <c r="J53" s="263">
        <f>SUM(G53:I53)</f>
        <v>0</v>
      </c>
      <c r="K53" s="104"/>
      <c r="L53" s="209"/>
      <c r="M53" s="209"/>
      <c r="N53" s="209">
        <f>J53</f>
        <v>0</v>
      </c>
      <c r="O53" s="209">
        <f>SUM(L53:N53)</f>
        <v>0</v>
      </c>
      <c r="P53" s="264">
        <f>'Rider Rates'!D142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251</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70</v>
      </c>
      <c r="B55" s="148"/>
      <c r="C55" s="148"/>
      <c r="D55" s="180"/>
      <c r="E55" s="181"/>
      <c r="F55" s="182"/>
      <c r="G55" s="182"/>
      <c r="H55" s="182"/>
      <c r="I55" s="182"/>
      <c r="J55" s="182"/>
      <c r="K55" s="183"/>
      <c r="L55" s="169">
        <f>SUM(L27:L54)</f>
        <v>0</v>
      </c>
      <c r="M55" s="169">
        <f>SUM(M27:M54)</f>
        <v>0</v>
      </c>
      <c r="N55" s="169">
        <f>SUM(N27:N54)</f>
        <v>20.700000000000003</v>
      </c>
      <c r="O55" s="169">
        <f>SUM(O27:O54)</f>
        <v>20.700000000000003</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93</v>
      </c>
      <c r="B57" s="170"/>
      <c r="C57" s="170"/>
      <c r="D57" s="170"/>
      <c r="E57" s="170"/>
      <c r="F57" s="170"/>
      <c r="G57" s="170"/>
      <c r="H57" s="170"/>
      <c r="I57" s="170"/>
      <c r="J57" s="170"/>
      <c r="K57" s="170"/>
      <c r="L57" s="186">
        <f>L23+L55</f>
        <v>0</v>
      </c>
      <c r="M57" s="186">
        <f>M23+M55</f>
        <v>0</v>
      </c>
      <c r="N57" s="186">
        <f>N23+N55</f>
        <v>30.1</v>
      </c>
      <c r="O57" s="187">
        <f>O23+O55</f>
        <v>30.1</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92</v>
      </c>
      <c r="B60" s="78"/>
      <c r="C60" s="78"/>
      <c r="D60" s="78"/>
      <c r="E60" s="78"/>
      <c r="F60" s="78"/>
      <c r="G60" s="78"/>
      <c r="H60" s="78"/>
      <c r="I60" s="78"/>
      <c r="J60" s="78"/>
      <c r="K60" s="78"/>
      <c r="L60" s="78"/>
      <c r="M60" s="78"/>
      <c r="N60" s="78"/>
      <c r="O60" s="109">
        <f>O21+O55</f>
        <v>30.1</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116</v>
      </c>
      <c r="B62" s="151"/>
      <c r="C62" s="151"/>
      <c r="D62" s="151"/>
      <c r="E62" s="151"/>
      <c r="F62" s="151"/>
      <c r="G62" s="151"/>
      <c r="H62" s="151"/>
      <c r="I62" s="151"/>
      <c r="J62" s="151"/>
      <c r="K62" s="151"/>
      <c r="L62" s="151"/>
      <c r="M62" s="151"/>
      <c r="N62" s="151"/>
      <c r="O62" s="190">
        <f>IF($D$17&lt;0,O57,IF(O57&gt;O60,O57,O60))</f>
        <v>30.1</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120</v>
      </c>
      <c r="J64" s="166"/>
      <c r="K64" s="166"/>
      <c r="L64" s="191"/>
      <c r="M64" s="191"/>
      <c r="N64" s="191"/>
      <c r="O64" s="191">
        <f>ROUND(IF($C$15&lt;1,0,O57/($C$15*100)*10000),2)</f>
        <v>0</v>
      </c>
      <c r="P64" s="37" t="s">
        <v>86</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198</v>
      </c>
      <c r="J65" s="78"/>
      <c r="K65" s="78"/>
      <c r="L65" s="78"/>
      <c r="M65" s="78"/>
      <c r="N65" s="78"/>
      <c r="O65" s="243">
        <f>ROUND(IF($C$15&lt;1,0,(L57)/($C$15*100)*10000),2)</f>
        <v>0</v>
      </c>
      <c r="P65" s="25" t="s">
        <v>86</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vwHg0c79ttXk2E/np/t0cMTCdz0Hhabt028C+0P9uirJGT6CJ9pRiXQw9+zlIA7v3KJlnyXtNgMIMtrn8eeVnQ==" saltValue="rZdC+n8BV4yLlpq5Vce/h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66"/>
  <sheetViews>
    <sheetView showGridLines="0" topLeftCell="A15" zoomScale="80" zoomScaleNormal="80" workbookViewId="0">
      <selection activeCell="AI38" sqref="AI38"/>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83</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5"/>
      <c r="B5" s="75"/>
      <c r="C5" s="75"/>
      <c r="D5" s="75"/>
      <c r="E5" s="75"/>
      <c r="F5" s="75"/>
      <c r="G5" s="75"/>
      <c r="H5" s="75"/>
      <c r="I5" s="75"/>
      <c r="J5" s="75"/>
      <c r="K5" s="75"/>
    </row>
    <row r="6" spans="1:30" x14ac:dyDescent="0.2">
      <c r="A6" s="76">
        <f ca="1">TODAY()</f>
        <v>45532</v>
      </c>
      <c r="B6" s="210" t="s">
        <v>237</v>
      </c>
      <c r="C6" s="76"/>
      <c r="D6" s="76"/>
      <c r="E6" s="76"/>
      <c r="F6" s="76"/>
      <c r="G6" s="76"/>
      <c r="H6" s="76"/>
      <c r="I6" s="76"/>
    </row>
    <row r="7" spans="1:30" ht="26.25" x14ac:dyDescent="0.4">
      <c r="A7" s="566"/>
      <c r="B7" s="566"/>
      <c r="C7" s="566"/>
      <c r="D7" s="566"/>
      <c r="E7" s="566"/>
      <c r="F7" s="566"/>
      <c r="G7" s="566"/>
      <c r="H7" s="566"/>
      <c r="I7" s="566"/>
      <c r="J7" s="566"/>
      <c r="K7" s="566"/>
      <c r="L7" s="566"/>
      <c r="M7" s="566"/>
      <c r="N7" s="566"/>
      <c r="O7" s="566"/>
      <c r="P7" s="56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233</v>
      </c>
      <c r="B16" s="31"/>
      <c r="C16" s="32">
        <f>'Customer Info'!B22</f>
        <v>0</v>
      </c>
      <c r="D16" s="31" t="s">
        <v>41</v>
      </c>
      <c r="E16" s="31"/>
      <c r="F16" s="33"/>
      <c r="G16" s="23" t="s">
        <v>15</v>
      </c>
      <c r="H16" s="31"/>
    </row>
    <row r="17" spans="1:221" x14ac:dyDescent="0.2">
      <c r="A17" s="31" t="s">
        <v>234</v>
      </c>
      <c r="B17" s="31"/>
      <c r="C17" s="32">
        <f>'Customer Info'!B23</f>
        <v>0</v>
      </c>
      <c r="D17" s="262" t="s">
        <v>41</v>
      </c>
      <c r="E17" s="33"/>
      <c r="F17" s="33"/>
      <c r="G17" s="23" t="s">
        <v>15</v>
      </c>
      <c r="H17" s="31"/>
      <c r="I17" s="52" t="s">
        <v>15</v>
      </c>
    </row>
    <row r="19" spans="1:221" x14ac:dyDescent="0.2">
      <c r="A19" s="28" t="s">
        <v>31</v>
      </c>
      <c r="B19" s="22"/>
      <c r="C19" s="22"/>
      <c r="D19" s="22"/>
      <c r="E19" s="22"/>
      <c r="F19" s="22"/>
      <c r="G19" s="560" t="s">
        <v>67</v>
      </c>
      <c r="H19" s="561"/>
      <c r="I19" s="561"/>
      <c r="J19" s="562"/>
      <c r="K19" s="22"/>
      <c r="L19" s="563" t="s">
        <v>68</v>
      </c>
      <c r="M19" s="563"/>
      <c r="N19" s="563"/>
      <c r="O19" s="563"/>
    </row>
    <row r="20" spans="1:221" x14ac:dyDescent="0.2">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C16+C17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164</v>
      </c>
      <c r="B35" s="78"/>
      <c r="C35" s="78"/>
      <c r="D35" s="100">
        <f>C16</f>
        <v>0</v>
      </c>
      <c r="E35" s="101" t="s">
        <v>41</v>
      </c>
      <c r="F35" s="102" t="s">
        <v>8</v>
      </c>
      <c r="G35" s="103">
        <f>'Rider Rates'!B38</f>
        <v>2.2890699999999998E-3</v>
      </c>
      <c r="H35" s="103"/>
      <c r="I35" s="103"/>
      <c r="J35" s="237">
        <f>SUM(G35:H35)</f>
        <v>2.2890699999999998E-3</v>
      </c>
      <c r="K35" s="104" t="s">
        <v>42</v>
      </c>
      <c r="L35" s="105">
        <f>ROUND(D35*G35,2)</f>
        <v>0</v>
      </c>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227</v>
      </c>
      <c r="B36" s="78"/>
      <c r="C36" s="78"/>
      <c r="D36" s="100">
        <f>C17</f>
        <v>0</v>
      </c>
      <c r="E36" s="101" t="s">
        <v>41</v>
      </c>
      <c r="F36" s="249" t="s">
        <v>8</v>
      </c>
      <c r="G36" s="103">
        <f>'Rider Rates'!B39</f>
        <v>0</v>
      </c>
      <c r="H36" s="103"/>
      <c r="I36" s="103"/>
      <c r="J36" s="237">
        <f>SUM(G36:H36)</f>
        <v>0</v>
      </c>
      <c r="K36" s="104" t="s">
        <v>42</v>
      </c>
      <c r="L36" s="105">
        <f>ROUND(D36*G36,2)</f>
        <v>0</v>
      </c>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201</v>
      </c>
      <c r="B37" s="78"/>
      <c r="C37" s="78"/>
      <c r="D37" s="100">
        <f>C16+C17</f>
        <v>0</v>
      </c>
      <c r="E37" s="101" t="s">
        <v>41</v>
      </c>
      <c r="F37" s="102" t="s">
        <v>8</v>
      </c>
      <c r="G37" s="103">
        <f>'Rider Rates'!$B$49</f>
        <v>-3.1569999999999998E-4</v>
      </c>
      <c r="H37" s="103"/>
      <c r="I37" s="103"/>
      <c r="J37" s="237">
        <f>SUM(G37:H37)</f>
        <v>-3.1569999999999998E-4</v>
      </c>
      <c r="K37" s="104" t="s">
        <v>42</v>
      </c>
      <c r="L37" s="105">
        <f>ROUND(D37*G37,2)</f>
        <v>0</v>
      </c>
      <c r="M37" s="105"/>
      <c r="N37" s="105"/>
      <c r="O37" s="105">
        <f t="shared" si="2"/>
        <v>0</v>
      </c>
      <c r="P37" s="245">
        <f>'Rider Rates'!$D$49</f>
        <v>45471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80</v>
      </c>
      <c r="B42" s="78"/>
      <c r="C42" s="78"/>
      <c r="D42" s="195">
        <f>$N$23</f>
        <v>9.4</v>
      </c>
      <c r="E42" s="101" t="s">
        <v>121</v>
      </c>
      <c r="F42" s="102" t="s">
        <v>8</v>
      </c>
      <c r="G42" s="111"/>
      <c r="H42" s="112"/>
      <c r="I42" s="120">
        <f>'Rider Rates'!$B$89</f>
        <v>2.9347000000000002E-2</v>
      </c>
      <c r="J42" s="120">
        <f t="shared" si="0"/>
        <v>2.9347000000000002E-2</v>
      </c>
      <c r="K42" s="104"/>
      <c r="L42" s="105"/>
      <c r="M42" s="105"/>
      <c r="N42" s="105">
        <f>ROUND(D42*I42,2)</f>
        <v>0.28000000000000003</v>
      </c>
      <c r="O42" s="105">
        <f t="shared" si="2"/>
        <v>0.28000000000000003</v>
      </c>
      <c r="P42" s="245">
        <f>'Rider Rates'!$D$89</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214</v>
      </c>
      <c r="B44" s="78"/>
      <c r="C44" s="78"/>
      <c r="D44" s="195"/>
      <c r="E44" s="113" t="s">
        <v>114</v>
      </c>
      <c r="F44" s="106"/>
      <c r="G44" s="114"/>
      <c r="H44" s="115"/>
      <c r="I44" s="196">
        <f>'Rider Rates'!$B$95</f>
        <v>11.97</v>
      </c>
      <c r="J44" s="196">
        <f t="shared" si="0"/>
        <v>11.97</v>
      </c>
      <c r="K44" s="104"/>
      <c r="L44" s="105"/>
      <c r="M44" s="105"/>
      <c r="N44" s="105">
        <f>I44</f>
        <v>11.97</v>
      </c>
      <c r="O44" s="105">
        <f t="shared" si="2"/>
        <v>11.97</v>
      </c>
      <c r="P44" s="245">
        <f>'Rider Rates'!$D$95</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121</v>
      </c>
      <c r="F46" s="102" t="s">
        <v>8</v>
      </c>
      <c r="G46" s="114"/>
      <c r="H46" s="115"/>
      <c r="I46" s="120">
        <f>'Rider Rates'!$B$109</f>
        <v>0.211176</v>
      </c>
      <c r="J46" s="120">
        <f t="shared" si="0"/>
        <v>0.211176</v>
      </c>
      <c r="K46" s="104"/>
      <c r="L46" s="105"/>
      <c r="M46" s="105"/>
      <c r="N46" s="105">
        <f>ROUND(D46*I46,2)</f>
        <v>1.99</v>
      </c>
      <c r="O46" s="105">
        <f t="shared" si="2"/>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5.83</v>
      </c>
      <c r="J48" s="196">
        <f t="shared" si="0"/>
        <v>5.83</v>
      </c>
      <c r="K48" s="104"/>
      <c r="L48" s="105"/>
      <c r="M48" s="105"/>
      <c r="N48" s="260">
        <f>I48</f>
        <v>5.83</v>
      </c>
      <c r="O48" s="105">
        <f t="shared" si="2"/>
        <v>5.83</v>
      </c>
      <c r="P48" s="245">
        <f>'Rider Rates'!D126</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99" t="s">
        <v>157</v>
      </c>
      <c r="B49" s="78"/>
      <c r="C49" s="78"/>
      <c r="D49" s="100">
        <f>C16+C17</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79" t="s">
        <v>70</v>
      </c>
      <c r="B56" s="148"/>
      <c r="C56" s="148"/>
      <c r="D56" s="180"/>
      <c r="E56" s="181"/>
      <c r="F56" s="182"/>
      <c r="G56" s="182"/>
      <c r="H56" s="182"/>
      <c r="I56" s="182"/>
      <c r="J56" s="182"/>
      <c r="K56" s="183"/>
      <c r="L56" s="169">
        <f>SUM(L27:L55)</f>
        <v>0</v>
      </c>
      <c r="M56" s="169">
        <f>SUM(M27:M55)</f>
        <v>0</v>
      </c>
      <c r="N56" s="169">
        <f>SUM(N27:N55)</f>
        <v>20.700000000000003</v>
      </c>
      <c r="O56" s="169">
        <f>SUM(O27:O55)</f>
        <v>20.700000000000003</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85" t="s">
        <v>93</v>
      </c>
      <c r="B58" s="170"/>
      <c r="C58" s="170"/>
      <c r="D58" s="170"/>
      <c r="E58" s="170"/>
      <c r="F58" s="170"/>
      <c r="G58" s="170"/>
      <c r="H58" s="170"/>
      <c r="I58" s="170"/>
      <c r="J58" s="170"/>
      <c r="K58" s="170"/>
      <c r="L58" s="186">
        <f>L23+L56</f>
        <v>0</v>
      </c>
      <c r="M58" s="186">
        <f>M23+M56</f>
        <v>0</v>
      </c>
      <c r="N58" s="186">
        <f>N23+N56</f>
        <v>30.1</v>
      </c>
      <c r="O58" s="187">
        <f>O23+O56</f>
        <v>30.1</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92</v>
      </c>
      <c r="B61" s="78"/>
      <c r="C61" s="78"/>
      <c r="D61" s="78"/>
      <c r="E61" s="78"/>
      <c r="F61" s="78"/>
      <c r="G61" s="78"/>
      <c r="H61" s="78"/>
      <c r="I61" s="78"/>
      <c r="J61" s="78"/>
      <c r="K61" s="78"/>
      <c r="L61" s="78"/>
      <c r="M61" s="78"/>
      <c r="N61" s="78"/>
      <c r="O61" s="109">
        <f>O21+O56</f>
        <v>30.1</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t="s">
        <v>116</v>
      </c>
      <c r="B63" s="151"/>
      <c r="C63" s="151"/>
      <c r="D63" s="151"/>
      <c r="E63" s="151"/>
      <c r="F63" s="151"/>
      <c r="G63" s="151"/>
      <c r="H63" s="151"/>
      <c r="I63" s="151"/>
      <c r="J63" s="151"/>
      <c r="K63" s="151"/>
      <c r="L63" s="151"/>
      <c r="M63" s="151"/>
      <c r="N63" s="151"/>
      <c r="O63" s="190">
        <f>IF($D$17&lt;0,O58,IF(O58&gt;O61,O58,O61))</f>
        <v>30.1</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1"/>
  <sheetViews>
    <sheetView showGridLines="0" topLeftCell="A21" zoomScale="80" zoomScaleNormal="80" workbookViewId="0">
      <selection activeCell="A25" sqref="A25:A54"/>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263</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6">
        <f ca="1">TODAY()</f>
        <v>45532</v>
      </c>
      <c r="B5" s="75"/>
      <c r="C5" s="75"/>
      <c r="D5" s="75"/>
      <c r="E5" s="75"/>
      <c r="F5" s="75"/>
      <c r="G5" s="75"/>
      <c r="H5" s="75"/>
      <c r="I5" s="75"/>
      <c r="J5" s="75"/>
      <c r="K5" s="75"/>
      <c r="L5" s="75"/>
      <c r="M5" s="75"/>
      <c r="N5" s="75"/>
      <c r="O5" s="75"/>
      <c r="P5" s="75"/>
    </row>
    <row r="6" spans="1:30" x14ac:dyDescent="0.2">
      <c r="A6" s="567" t="s">
        <v>260</v>
      </c>
      <c r="B6" s="567"/>
      <c r="C6" s="567"/>
      <c r="D6" s="567"/>
      <c r="E6" s="567"/>
      <c r="F6" s="567"/>
      <c r="G6" s="567"/>
      <c r="H6" s="567"/>
      <c r="I6" s="567"/>
      <c r="J6" s="567"/>
      <c r="K6" s="567"/>
      <c r="L6" s="567"/>
      <c r="M6" s="567"/>
      <c r="N6" s="567"/>
      <c r="O6" s="567"/>
      <c r="P6" s="567"/>
      <c r="Q6" s="567"/>
    </row>
    <row r="7" spans="1:30" x14ac:dyDescent="0.2">
      <c r="A7" s="548" t="s">
        <v>15</v>
      </c>
      <c r="B7" s="548"/>
      <c r="C7" s="548"/>
      <c r="D7" s="548"/>
      <c r="E7" s="548"/>
      <c r="F7" s="548"/>
      <c r="G7" s="548"/>
      <c r="H7" s="548"/>
      <c r="I7" s="548"/>
      <c r="J7" s="548"/>
      <c r="K7" s="548"/>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4"/>
      <c r="K12" s="94"/>
      <c r="L12" s="94"/>
      <c r="M12" s="94"/>
      <c r="N12" s="94"/>
      <c r="O12" s="94"/>
      <c r="P12" s="9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97" t="s">
        <v>27</v>
      </c>
      <c r="B13" s="18"/>
      <c r="C13" s="18"/>
      <c r="D13" s="18"/>
      <c r="E13" s="18"/>
      <c r="F13" s="18"/>
      <c r="G13" s="18"/>
      <c r="H13" s="18"/>
      <c r="I13" s="18"/>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75</v>
      </c>
      <c r="B17" s="22"/>
      <c r="C17" s="22"/>
      <c r="D17" s="22"/>
      <c r="E17" s="22"/>
      <c r="F17" s="22"/>
      <c r="G17" s="560" t="s">
        <v>67</v>
      </c>
      <c r="H17" s="561"/>
      <c r="I17" s="561"/>
      <c r="J17" s="562"/>
      <c r="K17" s="22"/>
      <c r="L17" s="563" t="s">
        <v>68</v>
      </c>
      <c r="M17" s="563"/>
      <c r="N17" s="563"/>
      <c r="O17" s="563"/>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303</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74</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5"/>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ROUND(D25*I25,2)</f>
        <v>0</v>
      </c>
      <c r="O25" s="105">
        <f>SUM(L25:N25)</f>
        <v>0</v>
      </c>
      <c r="P25" s="245">
        <f>'Rider Rates'!$D$4</f>
        <v>45293</v>
      </c>
      <c r="Q25" s="255"/>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45293</v>
      </c>
      <c r="Q26" s="255"/>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
        <f>IF('Customer Info'!$C$33=TRUE,0,IF(C15&lt;0,0,IF(C15&gt;2000,2000,C15)))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5"/>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
        <f>IF('Customer Info'!$C$33=TRUE,0,IF(C15&gt;15000,13000,IF(C15&gt;2000,C15-2000,0)))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5"/>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
        <f>IF('Customer Info'!$C$33=TRUE,0,IF(C15-D27-D28&gt;0,C15-D27-D28,0))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5"/>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245</v>
      </c>
      <c r="B30" s="78"/>
      <c r="C30" s="78"/>
      <c r="D30" s="195">
        <f>$N$21</f>
        <v>9.4</v>
      </c>
      <c r="E30" s="101" t="s">
        <v>121</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5"/>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194</v>
      </c>
      <c r="B31" s="78"/>
      <c r="C31" s="78"/>
      <c r="D31" s="100">
        <f>'Customer Info'!$B$22+'Customer Info'!$B$23</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5"/>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164</v>
      </c>
      <c r="B32" s="78"/>
      <c r="C32" s="78"/>
      <c r="D32" s="1">
        <f>'Customer Info'!B22</f>
        <v>0</v>
      </c>
      <c r="E32" s="101" t="s">
        <v>41</v>
      </c>
      <c r="F32" s="102" t="s">
        <v>8</v>
      </c>
      <c r="G32" s="103">
        <f>'Rider Rates'!$B$40</f>
        <v>8.1709E-3</v>
      </c>
      <c r="H32" s="103"/>
      <c r="I32" s="103"/>
      <c r="J32" s="237">
        <f>SUM(G32:H32)</f>
        <v>8.1709E-3</v>
      </c>
      <c r="K32" s="104" t="s">
        <v>42</v>
      </c>
      <c r="L32" s="105">
        <f>ROUND(D32*G32,2)</f>
        <v>0</v>
      </c>
      <c r="M32" s="105"/>
      <c r="N32" s="105"/>
      <c r="O32" s="105">
        <f t="shared" si="1"/>
        <v>0</v>
      </c>
      <c r="P32" s="245">
        <f>'Rider Rates'!$D$40</f>
        <v>45444</v>
      </c>
      <c r="Q32" s="255"/>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227</v>
      </c>
      <c r="B33" s="78"/>
      <c r="C33" s="78"/>
      <c r="D33" s="1">
        <f>'Customer Info'!B23</f>
        <v>0</v>
      </c>
      <c r="E33" s="101" t="s">
        <v>41</v>
      </c>
      <c r="F33" s="102" t="s">
        <v>8</v>
      </c>
      <c r="G33" s="103">
        <f>'Rider Rates'!$B$41</f>
        <v>2.7900000000000001E-5</v>
      </c>
      <c r="H33" s="103"/>
      <c r="I33" s="103"/>
      <c r="J33" s="237">
        <f>SUM(G33:H33)</f>
        <v>2.7900000000000001E-5</v>
      </c>
      <c r="K33" s="104" t="s">
        <v>42</v>
      </c>
      <c r="L33" s="105">
        <f>ROUND(D33*G33,2)</f>
        <v>0</v>
      </c>
      <c r="M33" s="105"/>
      <c r="N33" s="105"/>
      <c r="O33" s="105">
        <f t="shared" si="1"/>
        <v>0</v>
      </c>
      <c r="P33" s="245">
        <f>'Rider Rates'!$D$41</f>
        <v>45444</v>
      </c>
      <c r="Q33" s="255"/>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201</v>
      </c>
      <c r="B34" s="78"/>
      <c r="C34" s="78"/>
      <c r="D34" s="100">
        <f>'Customer Info'!$B$22+'Customer Info'!$B$23</f>
        <v>0</v>
      </c>
      <c r="E34" s="101" t="s">
        <v>41</v>
      </c>
      <c r="F34" s="102" t="s">
        <v>8</v>
      </c>
      <c r="G34" s="103">
        <f>'Rider Rates'!$B$49</f>
        <v>-3.1569999999999998E-4</v>
      </c>
      <c r="H34" s="103"/>
      <c r="I34" s="103"/>
      <c r="J34" s="237">
        <f>SUM(G34:H34)</f>
        <v>-3.1569999999999998E-4</v>
      </c>
      <c r="K34" s="104" t="s">
        <v>42</v>
      </c>
      <c r="L34" s="105">
        <f>ROUND(D34*G34,2)</f>
        <v>0</v>
      </c>
      <c r="M34" s="105"/>
      <c r="N34" s="105"/>
      <c r="O34" s="105">
        <f t="shared" si="1"/>
        <v>0</v>
      </c>
      <c r="P34" s="245">
        <f>'Rider Rates'!$D$49</f>
        <v>45471</v>
      </c>
      <c r="Q34" s="255"/>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218</v>
      </c>
      <c r="B35" s="78"/>
      <c r="C35" s="78"/>
      <c r="D35" s="100">
        <f>IF($C$15&lt;0,0,IF($C$15&gt;833000,833000,$C$15))</f>
        <v>0</v>
      </c>
      <c r="E35" s="101" t="s">
        <v>41</v>
      </c>
      <c r="F35" s="102" t="s">
        <v>8</v>
      </c>
      <c r="G35" s="103"/>
      <c r="H35" s="103"/>
      <c r="I35" s="103">
        <f>'Rider Rates'!D53</f>
        <v>1.8006999999999999E-3</v>
      </c>
      <c r="J35" s="103">
        <f>SUM(G35:I35)</f>
        <v>1.8006999999999999E-3</v>
      </c>
      <c r="K35" s="104" t="s">
        <v>42</v>
      </c>
      <c r="L35" s="105"/>
      <c r="M35" s="105"/>
      <c r="N35" s="105">
        <f>D35*J35</f>
        <v>0</v>
      </c>
      <c r="O35" s="105">
        <f t="shared" si="1"/>
        <v>0</v>
      </c>
      <c r="P35" s="245">
        <f>'Rider Rates'!E53</f>
        <v>45474</v>
      </c>
      <c r="Q35" s="255"/>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197</v>
      </c>
      <c r="B36" s="78"/>
      <c r="C36" s="78"/>
      <c r="D36" s="100">
        <f>IF($C$15&lt;0,0,$C$15)</f>
        <v>0</v>
      </c>
      <c r="E36" s="113" t="s">
        <v>41</v>
      </c>
      <c r="F36" s="102" t="s">
        <v>8</v>
      </c>
      <c r="G36" s="103"/>
      <c r="H36" s="103">
        <f>'Rider Rates'!$B$60</f>
        <v>2.3467399999999999E-2</v>
      </c>
      <c r="I36" s="103"/>
      <c r="J36" s="103">
        <f>SUM(G36:I36)</f>
        <v>2.3467399999999999E-2</v>
      </c>
      <c r="K36" s="104" t="s">
        <v>42</v>
      </c>
      <c r="L36" s="105"/>
      <c r="M36" s="105">
        <f>ROUND(D36*H36,2)</f>
        <v>0</v>
      </c>
      <c r="N36" s="205"/>
      <c r="O36" s="105">
        <f t="shared" si="1"/>
        <v>0</v>
      </c>
      <c r="P36" s="245">
        <f>'Rider Rates'!$D$60</f>
        <v>45383</v>
      </c>
      <c r="Q36" s="255"/>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95</v>
      </c>
      <c r="B37" s="78"/>
      <c r="C37" s="78"/>
      <c r="D37" s="100">
        <f>IF('Customer Info'!C35=TRUE,0,IF($C$15&lt;0,0,$C$15))</f>
        <v>0</v>
      </c>
      <c r="E37" s="101" t="s">
        <v>41</v>
      </c>
      <c r="F37" s="102" t="s">
        <v>8</v>
      </c>
      <c r="G37" s="103"/>
      <c r="H37" s="103"/>
      <c r="I37" s="103">
        <f>'Rider Rates'!$B$76+'Rider Rates'!$C$76</f>
        <v>0</v>
      </c>
      <c r="J37" s="103">
        <f>SUM(G37:I37)</f>
        <v>0</v>
      </c>
      <c r="K37" s="104" t="s">
        <v>42</v>
      </c>
      <c r="L37" s="105"/>
      <c r="M37" s="105"/>
      <c r="N37" s="87">
        <f>ROUND($D$37*'Rider Rates'!$B$76,2)+ROUND($D$37*'Rider Rates'!$C$76,2)</f>
        <v>0</v>
      </c>
      <c r="O37" s="105">
        <f>SUM(L37:N37)</f>
        <v>0</v>
      </c>
      <c r="P37" s="245">
        <f>'Rider Rates'!$D$76</f>
        <v>44531</v>
      </c>
      <c r="Q37" s="255"/>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95</v>
      </c>
      <c r="B38" s="78"/>
      <c r="C38" s="78"/>
      <c r="D38" s="100"/>
      <c r="E38" s="101" t="s">
        <v>114</v>
      </c>
      <c r="F38" s="102"/>
      <c r="G38" s="103"/>
      <c r="H38" s="103"/>
      <c r="I38" s="196">
        <f>'Rider Rates'!$B$82</f>
        <v>0</v>
      </c>
      <c r="J38" s="196">
        <f>IF('Customer Info'!C35=TRUE,0,SUM(G38:I38))</f>
        <v>0</v>
      </c>
      <c r="K38" s="104"/>
      <c r="L38" s="105"/>
      <c r="M38" s="105"/>
      <c r="N38" s="105">
        <f>J38</f>
        <v>0</v>
      </c>
      <c r="O38" s="105">
        <f>SUM(L38:N38)</f>
        <v>0</v>
      </c>
      <c r="P38" s="245">
        <f>'Rider Rates'!$D$82</f>
        <v>45444</v>
      </c>
      <c r="Q38" s="255"/>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80</v>
      </c>
      <c r="B39" s="78"/>
      <c r="C39" s="78"/>
      <c r="D39" s="195">
        <f>$N$21</f>
        <v>9.4</v>
      </c>
      <c r="E39" s="101" t="s">
        <v>121</v>
      </c>
      <c r="F39" s="102" t="s">
        <v>8</v>
      </c>
      <c r="G39" s="111"/>
      <c r="H39" s="112"/>
      <c r="I39" s="120">
        <f>'Rider Rates'!$B$89</f>
        <v>2.9347000000000002E-2</v>
      </c>
      <c r="J39" s="120">
        <f t="shared" si="0"/>
        <v>2.9347000000000002E-2</v>
      </c>
      <c r="K39" s="104"/>
      <c r="L39" s="105"/>
      <c r="M39" s="105"/>
      <c r="N39" s="105">
        <f>ROUND(D39*I39,2)</f>
        <v>0.28000000000000003</v>
      </c>
      <c r="O39" s="105">
        <f>SUM(L39:N39)</f>
        <v>0.28000000000000003</v>
      </c>
      <c r="P39" s="245">
        <f>'Rider Rates'!$D$89</f>
        <v>45383</v>
      </c>
      <c r="Q39" s="255"/>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9.4</v>
      </c>
      <c r="E40" s="101" t="s">
        <v>121</v>
      </c>
      <c r="F40" s="102" t="s">
        <v>8</v>
      </c>
      <c r="G40" s="114"/>
      <c r="H40" s="115"/>
      <c r="I40" s="120">
        <f>'Rider Rates'!$B$91</f>
        <v>6.6985699999999995E-2</v>
      </c>
      <c r="J40" s="120">
        <f t="shared" si="0"/>
        <v>6.6985699999999995E-2</v>
      </c>
      <c r="K40" s="104"/>
      <c r="L40" s="105"/>
      <c r="M40" s="105"/>
      <c r="N40" s="105">
        <f>ROUND(D40*I40,2)</f>
        <v>0.63</v>
      </c>
      <c r="O40" s="105">
        <f>SUM(L40:N40)</f>
        <v>0.63</v>
      </c>
      <c r="P40" s="245">
        <f>'Rider Rates'!$D$91</f>
        <v>45167</v>
      </c>
      <c r="Q40" s="255"/>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214</v>
      </c>
      <c r="B41" s="78"/>
      <c r="C41" s="78"/>
      <c r="D41" s="195"/>
      <c r="E41" s="113" t="s">
        <v>114</v>
      </c>
      <c r="F41" s="106"/>
      <c r="G41" s="114"/>
      <c r="H41" s="115"/>
      <c r="I41" s="196">
        <f>'Rider Rates'!$B$95</f>
        <v>11.97</v>
      </c>
      <c r="J41" s="196">
        <f t="shared" si="0"/>
        <v>11.97</v>
      </c>
      <c r="K41" s="104"/>
      <c r="L41" s="105"/>
      <c r="M41" s="105"/>
      <c r="N41" s="105">
        <f>I41</f>
        <v>11.97</v>
      </c>
      <c r="O41" s="105">
        <f>SUM(L41:N41)</f>
        <v>11.97</v>
      </c>
      <c r="P41" s="245">
        <f>'Rider Rates'!$D$95</f>
        <v>45442</v>
      </c>
      <c r="Q41" s="255"/>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261</v>
      </c>
      <c r="B42" s="78"/>
      <c r="C42" s="78"/>
      <c r="D42" s="100">
        <f>$D$25</f>
        <v>0</v>
      </c>
      <c r="E42" s="101" t="s">
        <v>41</v>
      </c>
      <c r="F42" s="102" t="s">
        <v>8</v>
      </c>
      <c r="G42" s="103"/>
      <c r="H42" s="103"/>
      <c r="I42" s="103"/>
      <c r="J42" s="103">
        <f>'Rider Rates'!$B$102</f>
        <v>0</v>
      </c>
      <c r="K42" s="104" t="s">
        <v>42</v>
      </c>
      <c r="L42" s="105"/>
      <c r="M42" s="105"/>
      <c r="N42" s="105"/>
      <c r="O42" s="105">
        <f>ROUND($D42*('Rider Rates'!B$102),2)</f>
        <v>0</v>
      </c>
      <c r="P42" s="245">
        <f>'Rider Rates'!$D$102</f>
        <v>44531</v>
      </c>
      <c r="Q42" s="254"/>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262</v>
      </c>
      <c r="B43" s="78"/>
      <c r="C43" s="78"/>
      <c r="D43" s="100">
        <f>$D$26</f>
        <v>0</v>
      </c>
      <c r="E43" s="101"/>
      <c r="F43" s="102"/>
      <c r="G43" s="103"/>
      <c r="H43" s="103"/>
      <c r="I43" s="103"/>
      <c r="J43" s="103">
        <f>'Rider Rates'!$B$103</f>
        <v>0</v>
      </c>
      <c r="K43" s="104" t="s">
        <v>42</v>
      </c>
      <c r="L43" s="105"/>
      <c r="M43" s="105"/>
      <c r="N43" s="105"/>
      <c r="O43" s="105">
        <f>ROUND($D43*('Rider Rates'!B$103),2)</f>
        <v>0</v>
      </c>
      <c r="P43" s="245">
        <f>'Rider Rates'!$D$103</f>
        <v>44531</v>
      </c>
      <c r="Q43" s="254"/>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121</v>
      </c>
      <c r="F44" s="102" t="s">
        <v>8</v>
      </c>
      <c r="G44" s="114"/>
      <c r="H44" s="115"/>
      <c r="I44" s="120">
        <f>'Rider Rates'!$B$109</f>
        <v>0.211176</v>
      </c>
      <c r="J44" s="120">
        <f t="shared" si="0"/>
        <v>0.211176</v>
      </c>
      <c r="K44" s="104"/>
      <c r="L44" s="105"/>
      <c r="M44" s="105"/>
      <c r="N44" s="105">
        <f>ROUND(D44*I44,2)</f>
        <v>1.99</v>
      </c>
      <c r="O44" s="105">
        <f t="shared" ref="O44:O50" si="2">SUM(L44:N44)</f>
        <v>1.99</v>
      </c>
      <c r="P44" s="245">
        <f>'Rider Rates'!$D$109</f>
        <v>45532</v>
      </c>
      <c r="Q44" s="254"/>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114</v>
      </c>
      <c r="F45" s="106"/>
      <c r="G45" s="114"/>
      <c r="H45" s="115"/>
      <c r="I45" s="196">
        <f>'Rider Rates'!$B$113</f>
        <v>0</v>
      </c>
      <c r="J45" s="196">
        <f t="shared" si="0"/>
        <v>0</v>
      </c>
      <c r="K45" s="104"/>
      <c r="L45" s="105"/>
      <c r="M45" s="105"/>
      <c r="N45" s="105">
        <f>I45</f>
        <v>0</v>
      </c>
      <c r="O45" s="105">
        <f t="shared" si="2"/>
        <v>0</v>
      </c>
      <c r="P45" s="245">
        <f>'Rider Rates'!$D$113</f>
        <v>44894</v>
      </c>
      <c r="Q45" s="254"/>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226</v>
      </c>
      <c r="B46" s="78"/>
      <c r="C46" s="78"/>
      <c r="D46" s="195"/>
      <c r="E46" s="113" t="s">
        <v>114</v>
      </c>
      <c r="F46" s="106"/>
      <c r="G46" s="114"/>
      <c r="H46" s="115"/>
      <c r="I46" s="258">
        <f>'Rider Rates'!B126</f>
        <v>5.83</v>
      </c>
      <c r="J46" s="196">
        <f t="shared" si="0"/>
        <v>5.83</v>
      </c>
      <c r="K46" s="104"/>
      <c r="L46" s="105"/>
      <c r="M46" s="105"/>
      <c r="N46" s="260">
        <f>'Rider Rates'!B126</f>
        <v>5.83</v>
      </c>
      <c r="O46" s="105">
        <f t="shared" si="2"/>
        <v>5.83</v>
      </c>
      <c r="P46" s="245">
        <f>'Rider Rates'!D126</f>
        <v>45226</v>
      </c>
      <c r="Q46" s="254"/>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Info'!$B$22+'Customer Info'!$B$23</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2"/>
        <v>0</v>
      </c>
      <c r="P47" s="245">
        <f>'Rider Rates'!$D$116</f>
        <v>44531</v>
      </c>
      <c r="Q47" s="254"/>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216</v>
      </c>
      <c r="B48" s="78"/>
      <c r="C48" s="78"/>
      <c r="D48" s="100">
        <f>IF($C$15&lt;1,0,$C$15)</f>
        <v>0</v>
      </c>
      <c r="E48" s="101" t="s">
        <v>41</v>
      </c>
      <c r="F48" s="249" t="s">
        <v>8</v>
      </c>
      <c r="G48" s="165"/>
      <c r="H48" s="165"/>
      <c r="I48" s="251">
        <f>'Rider Rates'!B122</f>
        <v>-6.2E-4</v>
      </c>
      <c r="J48" s="251">
        <f>SUM(G48:I48)</f>
        <v>-6.2E-4</v>
      </c>
      <c r="K48" s="104" t="s">
        <v>42</v>
      </c>
      <c r="L48" s="105"/>
      <c r="M48" s="105"/>
      <c r="N48" s="105">
        <f>D48*J48</f>
        <v>0</v>
      </c>
      <c r="O48" s="105">
        <f t="shared" si="2"/>
        <v>0</v>
      </c>
      <c r="P48" s="245">
        <f>'Rider Rates'!D122</f>
        <v>44531</v>
      </c>
      <c r="Q48" s="254"/>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241</v>
      </c>
      <c r="B49" s="78"/>
      <c r="C49" s="78"/>
      <c r="D49" s="100">
        <f>IF(C15&lt;0,0,IF(C15&gt;833000,833000,C15))</f>
        <v>0</v>
      </c>
      <c r="E49" s="101" t="s">
        <v>41</v>
      </c>
      <c r="F49" s="102" t="s">
        <v>8</v>
      </c>
      <c r="G49" s="265"/>
      <c r="H49" s="265"/>
      <c r="I49" s="265">
        <f>'Rider Rates'!$B$130</f>
        <v>2.9050000000000001E-4</v>
      </c>
      <c r="J49" s="265">
        <f>SUM(G49:I49)</f>
        <v>2.9050000000000001E-4</v>
      </c>
      <c r="K49" s="104" t="s">
        <v>42</v>
      </c>
      <c r="L49" s="266"/>
      <c r="M49" s="266"/>
      <c r="N49" s="266">
        <f>IF(D49*J49&gt;'Rider Rates'!$C$130,'Rider Rates'!$C$130,D49*J49)</f>
        <v>0</v>
      </c>
      <c r="O49" s="266">
        <f t="shared" si="2"/>
        <v>0</v>
      </c>
      <c r="P49" s="264">
        <f>'Rider Rates'!$E$130</f>
        <v>45292</v>
      </c>
      <c r="Q49" s="254"/>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242</v>
      </c>
      <c r="B50" s="78"/>
      <c r="C50" s="78"/>
      <c r="D50" s="123">
        <f>IF(C15&gt;833000,C15-833000,0)</f>
        <v>0</v>
      </c>
      <c r="E50" s="101" t="s">
        <v>41</v>
      </c>
      <c r="F50" s="102" t="s">
        <v>8</v>
      </c>
      <c r="G50" s="265"/>
      <c r="H50" s="265"/>
      <c r="I50" s="265">
        <f>'Rider Rates'!$B$131</f>
        <v>0</v>
      </c>
      <c r="J50" s="265">
        <f>SUM(G50:I50)</f>
        <v>0</v>
      </c>
      <c r="K50" s="104" t="s">
        <v>42</v>
      </c>
      <c r="L50" s="266"/>
      <c r="M50" s="266"/>
      <c r="N50" s="266">
        <f>D50*J50</f>
        <v>0</v>
      </c>
      <c r="O50" s="266">
        <f t="shared" si="2"/>
        <v>0</v>
      </c>
      <c r="P50" s="264">
        <f>'Rider Rates'!$E$131</f>
        <v>44927</v>
      </c>
      <c r="Q50" s="254"/>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250</v>
      </c>
      <c r="B51" s="78"/>
      <c r="C51" s="78"/>
      <c r="D51" s="100">
        <f>C14</f>
        <v>0</v>
      </c>
      <c r="E51" s="101" t="s">
        <v>41</v>
      </c>
      <c r="F51" s="249" t="s">
        <v>8</v>
      </c>
      <c r="G51" s="103"/>
      <c r="H51" s="103"/>
      <c r="I51" s="103">
        <f>'Rider Rates'!$B$135</f>
        <v>0</v>
      </c>
      <c r="J51" s="237">
        <f>SUM(G51:I51)</f>
        <v>0</v>
      </c>
      <c r="K51" s="104" t="s">
        <v>42</v>
      </c>
      <c r="L51" s="105"/>
      <c r="M51" s="105"/>
      <c r="N51" s="105">
        <f>D51*J51</f>
        <v>0</v>
      </c>
      <c r="O51" s="105">
        <f>SUM(L51:N51)</f>
        <v>0</v>
      </c>
      <c r="P51" s="245">
        <f>'Rider Rates'!$D$135</f>
        <v>44531</v>
      </c>
      <c r="Q51" s="254"/>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249</v>
      </c>
      <c r="B52" s="78"/>
      <c r="C52" s="78"/>
      <c r="D52" s="100"/>
      <c r="E52" s="101" t="s">
        <v>114</v>
      </c>
      <c r="F52" s="102" t="s">
        <v>8</v>
      </c>
      <c r="G52" s="263"/>
      <c r="H52" s="263"/>
      <c r="I52" s="263">
        <f>'Rider Rates'!$B$142</f>
        <v>0</v>
      </c>
      <c r="J52" s="263">
        <f>SUM(G52:I52)</f>
        <v>0</v>
      </c>
      <c r="K52" s="104"/>
      <c r="L52" s="209"/>
      <c r="M52" s="209"/>
      <c r="N52" s="209">
        <f>J52</f>
        <v>0</v>
      </c>
      <c r="O52" s="209">
        <f>SUM(L52:N52)</f>
        <v>0</v>
      </c>
      <c r="P52" s="264">
        <f>'Rider Rates'!$D$142</f>
        <v>44531</v>
      </c>
      <c r="Q52" s="254"/>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251</v>
      </c>
      <c r="B53" s="78"/>
      <c r="C53" s="78"/>
      <c r="D53" s="100"/>
      <c r="E53" s="101"/>
      <c r="F53" s="102"/>
      <c r="G53" s="263"/>
      <c r="H53" s="263"/>
      <c r="I53" s="263"/>
      <c r="J53" s="263"/>
      <c r="K53" s="104"/>
      <c r="L53" s="209"/>
      <c r="M53" s="209"/>
      <c r="N53" s="209"/>
      <c r="O53" s="209"/>
      <c r="P53" s="264"/>
      <c r="Q53" s="254"/>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179" t="s">
        <v>70</v>
      </c>
      <c r="B54" s="148"/>
      <c r="C54" s="148"/>
      <c r="D54" s="180"/>
      <c r="E54" s="181"/>
      <c r="F54" s="182"/>
      <c r="G54" s="182"/>
      <c r="H54" s="182"/>
      <c r="I54" s="182"/>
      <c r="J54" s="182"/>
      <c r="K54" s="183"/>
      <c r="L54" s="169">
        <f>SUM(L25:L53)</f>
        <v>0</v>
      </c>
      <c r="M54" s="169">
        <f>SUM(M25:M53)</f>
        <v>0</v>
      </c>
      <c r="N54" s="169">
        <f>SUM(N25:N53)</f>
        <v>20.700000000000003</v>
      </c>
      <c r="O54" s="169">
        <f>SUM(O25:O53)</f>
        <v>20.700000000000003</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78"/>
      <c r="B55" s="78"/>
      <c r="C55" s="78"/>
      <c r="D55" s="100"/>
      <c r="E55" s="113"/>
      <c r="F55" s="106"/>
      <c r="G55" s="106"/>
      <c r="H55" s="106"/>
      <c r="I55" s="106"/>
      <c r="J55" s="107"/>
      <c r="K55" s="104"/>
      <c r="L55" s="106"/>
      <c r="M55" s="169"/>
      <c r="N55" s="106"/>
      <c r="O55" s="106"/>
      <c r="P55" s="164"/>
      <c r="Q55" s="106"/>
      <c r="R55" s="188"/>
      <c r="S55" s="108"/>
      <c r="T55" s="109"/>
      <c r="U55" s="78"/>
      <c r="V55" s="10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81" t="s">
        <v>71</v>
      </c>
      <c r="B56" s="170"/>
      <c r="C56" s="170"/>
      <c r="D56" s="170"/>
      <c r="E56" s="170"/>
      <c r="F56" s="170"/>
      <c r="G56" s="170"/>
      <c r="H56" s="170"/>
      <c r="I56" s="170"/>
      <c r="J56" s="170"/>
      <c r="K56" s="170"/>
      <c r="L56" s="186">
        <f>L21+L54</f>
        <v>0</v>
      </c>
      <c r="M56" s="186">
        <f>M21+M54</f>
        <v>0</v>
      </c>
      <c r="N56" s="186">
        <f>N21+N54</f>
        <v>30.1</v>
      </c>
      <c r="O56" s="187">
        <f>O21+O54</f>
        <v>30.1</v>
      </c>
      <c r="P56" s="187"/>
      <c r="Q56" s="10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04"/>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47"/>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66" t="s">
        <v>92</v>
      </c>
      <c r="B59" s="78"/>
      <c r="C59" s="78"/>
      <c r="D59" s="166"/>
      <c r="E59" s="78"/>
      <c r="F59" s="78"/>
      <c r="G59" s="78"/>
      <c r="H59" s="78"/>
      <c r="I59" s="78"/>
      <c r="J59" s="78"/>
      <c r="K59" s="78"/>
      <c r="L59" s="78"/>
      <c r="M59" s="78"/>
      <c r="N59" s="78"/>
      <c r="O59" s="109">
        <f>O19+O54</f>
        <v>30.1</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7"/>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8" t="s">
        <v>116</v>
      </c>
      <c r="B61" s="151"/>
      <c r="C61" s="151"/>
      <c r="D61" s="151"/>
      <c r="E61" s="151"/>
      <c r="F61" s="151"/>
      <c r="G61" s="151"/>
      <c r="H61" s="151"/>
      <c r="I61" s="151"/>
      <c r="J61" s="151"/>
      <c r="K61" s="151"/>
      <c r="L61" s="151"/>
      <c r="M61" s="151"/>
      <c r="N61" s="151"/>
      <c r="O61" s="190">
        <f>IF($C$15&lt;0,O56,IF(O56&gt;O59,O56,O59))</f>
        <v>30.1</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47"/>
    </row>
    <row r="63" spans="1:221" x14ac:dyDescent="0.2">
      <c r="A63" s="147"/>
      <c r="I63" s="166" t="s">
        <v>120</v>
      </c>
      <c r="J63" s="166"/>
      <c r="K63" s="166"/>
      <c r="L63" s="191"/>
      <c r="M63" s="191"/>
      <c r="N63" s="191"/>
      <c r="O63" s="191">
        <f>ROUND(IF($C$15&lt;1,0,O56/($C$15*100)*10000),2)</f>
        <v>0</v>
      </c>
      <c r="P63" s="37" t="s">
        <v>86</v>
      </c>
    </row>
    <row r="64" spans="1:221" x14ac:dyDescent="0.2">
      <c r="A64" s="147"/>
      <c r="I64" s="242"/>
      <c r="J64" s="78"/>
      <c r="K64" s="78"/>
      <c r="L64" s="78"/>
      <c r="M64" s="78"/>
      <c r="N64" s="78"/>
      <c r="O64" s="243"/>
      <c r="P64" s="25"/>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row r="71" spans="1:1" x14ac:dyDescent="0.2">
      <c r="A71" s="147"/>
    </row>
  </sheetData>
  <sheetProtection algorithmName="SHA-512" hashValue="lyQ1KjAqdu6UF7v8HZ7dOsxDCiTbBulGNb7U+XbXe8Z81rsGEHHzGPUbTfIsjP2/y4MbHX9pKlsAj/qyh3OELw==" saltValue="a0Uv7wP+40HjkEml0DNQD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371475</xdr:colOff>
                    <xdr:row>77</xdr:row>
                    <xdr:rowOff>9525</xdr:rowOff>
                  </from>
                  <to>
                    <xdr:col>14</xdr:col>
                    <xdr:colOff>723900</xdr:colOff>
                    <xdr:row>78</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sheetPr codeName="Sheet8"/>
  <dimension ref="A1:IB66"/>
  <sheetViews>
    <sheetView showGridLines="0" topLeftCell="A15" zoomScale="80" zoomScaleNormal="80" workbookViewId="0">
      <selection activeCell="A27" sqref="A27:A54"/>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83</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5"/>
      <c r="B5" s="75"/>
      <c r="C5" s="75"/>
      <c r="D5" s="75"/>
      <c r="E5" s="75"/>
      <c r="F5" s="75"/>
      <c r="G5" s="75"/>
      <c r="H5" s="75"/>
      <c r="I5" s="75"/>
      <c r="J5" s="75"/>
      <c r="K5" s="75"/>
    </row>
    <row r="6" spans="1:30" x14ac:dyDescent="0.2">
      <c r="A6" s="406">
        <f ca="1">TODAY()</f>
        <v>45532</v>
      </c>
      <c r="B6" s="210" t="s">
        <v>237</v>
      </c>
      <c r="C6" s="406"/>
      <c r="D6" s="406"/>
      <c r="E6" s="406"/>
      <c r="F6" s="406"/>
      <c r="G6" s="406"/>
      <c r="H6" s="406"/>
      <c r="I6" s="406"/>
    </row>
    <row r="7" spans="1:30" ht="26.25" x14ac:dyDescent="0.4">
      <c r="A7" s="566"/>
      <c r="B7" s="566"/>
      <c r="C7" s="566"/>
      <c r="D7" s="566"/>
      <c r="E7" s="566"/>
      <c r="F7" s="566"/>
      <c r="G7" s="566"/>
      <c r="H7" s="566"/>
      <c r="I7" s="566"/>
      <c r="J7" s="566"/>
      <c r="K7" s="566"/>
      <c r="L7" s="566"/>
      <c r="M7" s="566"/>
      <c r="N7" s="566"/>
      <c r="O7" s="566"/>
      <c r="P7" s="56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233</v>
      </c>
      <c r="B16" s="31"/>
      <c r="C16" s="32">
        <f>'Customer Info'!B22</f>
        <v>0</v>
      </c>
      <c r="D16" s="31" t="s">
        <v>41</v>
      </c>
      <c r="E16" s="31"/>
      <c r="F16" s="33"/>
      <c r="G16" s="23" t="s">
        <v>15</v>
      </c>
      <c r="H16" s="31"/>
    </row>
    <row r="17" spans="1:221" x14ac:dyDescent="0.2">
      <c r="A17" s="31" t="s">
        <v>234</v>
      </c>
      <c r="B17" s="31"/>
      <c r="C17" s="32">
        <f>'Customer Info'!B23</f>
        <v>0</v>
      </c>
      <c r="D17" s="262" t="s">
        <v>41</v>
      </c>
      <c r="E17" s="33"/>
      <c r="F17" s="33"/>
      <c r="G17" s="23" t="s">
        <v>15</v>
      </c>
      <c r="H17" s="31"/>
      <c r="I17" s="52" t="s">
        <v>15</v>
      </c>
    </row>
    <row r="19" spans="1:221" x14ac:dyDescent="0.2">
      <c r="A19" s="28" t="s">
        <v>31</v>
      </c>
      <c r="B19" s="22"/>
      <c r="C19" s="22"/>
      <c r="D19" s="22"/>
      <c r="E19" s="22"/>
      <c r="F19" s="22"/>
      <c r="G19" s="560" t="s">
        <v>67</v>
      </c>
      <c r="H19" s="561"/>
      <c r="I19" s="561"/>
      <c r="J19" s="562"/>
      <c r="K19" s="22"/>
      <c r="L19" s="563" t="s">
        <v>68</v>
      </c>
      <c r="M19" s="563"/>
      <c r="N19" s="563"/>
      <c r="O19" s="563"/>
    </row>
    <row r="20" spans="1:221" x14ac:dyDescent="0.2">
      <c r="A20" s="18"/>
      <c r="B20" s="18"/>
      <c r="C20" s="18"/>
      <c r="D20" s="18"/>
      <c r="E20" s="18"/>
      <c r="F20" s="18"/>
      <c r="G20" s="8" t="s">
        <v>64</v>
      </c>
      <c r="H20" s="8" t="s">
        <v>65</v>
      </c>
      <c r="I20" s="8" t="s">
        <v>66</v>
      </c>
      <c r="J20" s="112" t="s">
        <v>34</v>
      </c>
      <c r="K20" s="18"/>
      <c r="L20" s="407" t="s">
        <v>64</v>
      </c>
      <c r="M20" s="407" t="s">
        <v>65</v>
      </c>
      <c r="N20" s="407"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C16+C17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164</v>
      </c>
      <c r="B35" s="78"/>
      <c r="C35" s="78"/>
      <c r="D35" s="100">
        <f>C16</f>
        <v>0</v>
      </c>
      <c r="E35" s="101" t="s">
        <v>41</v>
      </c>
      <c r="F35" s="102" t="s">
        <v>8</v>
      </c>
      <c r="G35" s="103">
        <f>'Rider Rates'!B38</f>
        <v>2.2890699999999998E-3</v>
      </c>
      <c r="H35" s="103"/>
      <c r="I35" s="103"/>
      <c r="J35" s="237">
        <f>SUM(G35:H35)</f>
        <v>2.2890699999999998E-3</v>
      </c>
      <c r="K35" s="104" t="s">
        <v>42</v>
      </c>
      <c r="L35" s="105">
        <f>ROUND(D35*G35,2)</f>
        <v>0</v>
      </c>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227</v>
      </c>
      <c r="B36" s="78"/>
      <c r="C36" s="78"/>
      <c r="D36" s="100">
        <f>C17</f>
        <v>0</v>
      </c>
      <c r="E36" s="101" t="s">
        <v>41</v>
      </c>
      <c r="F36" s="249" t="s">
        <v>8</v>
      </c>
      <c r="G36" s="103">
        <f>'Rider Rates'!B39</f>
        <v>0</v>
      </c>
      <c r="H36" s="103"/>
      <c r="I36" s="103"/>
      <c r="J36" s="237">
        <f>SUM(G36:H36)</f>
        <v>0</v>
      </c>
      <c r="K36" s="104" t="s">
        <v>42</v>
      </c>
      <c r="L36" s="105">
        <f>ROUND(D36*G36,2)</f>
        <v>0</v>
      </c>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201</v>
      </c>
      <c r="B37" s="78"/>
      <c r="C37" s="78"/>
      <c r="D37" s="100">
        <f>C16+C17</f>
        <v>0</v>
      </c>
      <c r="E37" s="101" t="s">
        <v>41</v>
      </c>
      <c r="F37" s="102" t="s">
        <v>8</v>
      </c>
      <c r="G37" s="103">
        <f>'Rider Rates'!$B$49</f>
        <v>-3.1569999999999998E-4</v>
      </c>
      <c r="H37" s="103"/>
      <c r="I37" s="103"/>
      <c r="J37" s="237">
        <f>SUM(G37:H37)</f>
        <v>-3.1569999999999998E-4</v>
      </c>
      <c r="K37" s="104" t="s">
        <v>42</v>
      </c>
      <c r="L37" s="105">
        <f>ROUND(D37*G37,2)</f>
        <v>0</v>
      </c>
      <c r="M37" s="105"/>
      <c r="N37" s="105"/>
      <c r="O37" s="105">
        <f t="shared" si="2"/>
        <v>0</v>
      </c>
      <c r="P37" s="245">
        <f>'Rider Rates'!$D$49</f>
        <v>45471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80</v>
      </c>
      <c r="B42" s="78"/>
      <c r="C42" s="78"/>
      <c r="D42" s="195">
        <f>$N$23</f>
        <v>9.4</v>
      </c>
      <c r="E42" s="101" t="s">
        <v>121</v>
      </c>
      <c r="F42" s="102" t="s">
        <v>8</v>
      </c>
      <c r="G42" s="111"/>
      <c r="H42" s="112"/>
      <c r="I42" s="120">
        <f>'Rider Rates'!$B$89</f>
        <v>2.9347000000000002E-2</v>
      </c>
      <c r="J42" s="120">
        <f t="shared" si="0"/>
        <v>2.9347000000000002E-2</v>
      </c>
      <c r="K42" s="104"/>
      <c r="L42" s="105"/>
      <c r="M42" s="105"/>
      <c r="N42" s="105">
        <f>ROUND(D42*I42,2)</f>
        <v>0.28000000000000003</v>
      </c>
      <c r="O42" s="105">
        <f t="shared" si="2"/>
        <v>0.28000000000000003</v>
      </c>
      <c r="P42" s="245">
        <f>'Rider Rates'!$D$89</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214</v>
      </c>
      <c r="B44" s="78"/>
      <c r="C44" s="78"/>
      <c r="D44" s="195"/>
      <c r="E44" s="113" t="s">
        <v>114</v>
      </c>
      <c r="F44" s="106"/>
      <c r="G44" s="114"/>
      <c r="H44" s="115"/>
      <c r="I44" s="196">
        <f>'Rider Rates'!$B$95</f>
        <v>11.97</v>
      </c>
      <c r="J44" s="196">
        <f t="shared" si="0"/>
        <v>11.97</v>
      </c>
      <c r="K44" s="104"/>
      <c r="L44" s="105"/>
      <c r="M44" s="105"/>
      <c r="N44" s="105">
        <f>I44</f>
        <v>11.97</v>
      </c>
      <c r="O44" s="105">
        <f t="shared" si="2"/>
        <v>11.97</v>
      </c>
      <c r="P44" s="245">
        <f>'Rider Rates'!$D$95</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121</v>
      </c>
      <c r="F46" s="102" t="s">
        <v>8</v>
      </c>
      <c r="G46" s="114"/>
      <c r="H46" s="115"/>
      <c r="I46" s="120">
        <f>'Rider Rates'!$B$109</f>
        <v>0.211176</v>
      </c>
      <c r="J46" s="120">
        <f t="shared" si="0"/>
        <v>0.211176</v>
      </c>
      <c r="K46" s="104"/>
      <c r="L46" s="105"/>
      <c r="M46" s="105"/>
      <c r="N46" s="105">
        <f>ROUND(D46*I46,2)</f>
        <v>1.99</v>
      </c>
      <c r="O46" s="105">
        <f t="shared" si="2"/>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5.83</v>
      </c>
      <c r="J48" s="196">
        <f t="shared" si="0"/>
        <v>5.83</v>
      </c>
      <c r="K48" s="104"/>
      <c r="L48" s="105"/>
      <c r="M48" s="105"/>
      <c r="N48" s="260">
        <f>I48</f>
        <v>5.83</v>
      </c>
      <c r="O48" s="105">
        <f t="shared" si="2"/>
        <v>5.83</v>
      </c>
      <c r="P48" s="245">
        <f>'Rider Rates'!D126</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99" t="s">
        <v>157</v>
      </c>
      <c r="B49" s="78"/>
      <c r="C49" s="78"/>
      <c r="D49" s="100">
        <f>C16+C17</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79" t="s">
        <v>70</v>
      </c>
      <c r="B56" s="148"/>
      <c r="C56" s="148"/>
      <c r="D56" s="180"/>
      <c r="E56" s="181"/>
      <c r="F56" s="182"/>
      <c r="G56" s="182"/>
      <c r="H56" s="182"/>
      <c r="I56" s="182"/>
      <c r="J56" s="182"/>
      <c r="K56" s="183"/>
      <c r="L56" s="169">
        <f>SUM(L27:L55)</f>
        <v>0</v>
      </c>
      <c r="M56" s="169">
        <f>SUM(M27:M55)</f>
        <v>0</v>
      </c>
      <c r="N56" s="169">
        <f>SUM(N27:N55)</f>
        <v>20.700000000000003</v>
      </c>
      <c r="O56" s="169">
        <f>SUM(O27:O55)</f>
        <v>20.700000000000003</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85" t="s">
        <v>93</v>
      </c>
      <c r="B58" s="170"/>
      <c r="C58" s="170"/>
      <c r="D58" s="170"/>
      <c r="E58" s="170"/>
      <c r="F58" s="170"/>
      <c r="G58" s="170"/>
      <c r="H58" s="170"/>
      <c r="I58" s="170"/>
      <c r="J58" s="170"/>
      <c r="K58" s="170"/>
      <c r="L58" s="186">
        <f>L23+L56</f>
        <v>0</v>
      </c>
      <c r="M58" s="186">
        <f>M23+M56</f>
        <v>0</v>
      </c>
      <c r="N58" s="186">
        <f>N23+N56</f>
        <v>30.1</v>
      </c>
      <c r="O58" s="187">
        <f>O23+O56</f>
        <v>30.1</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92</v>
      </c>
      <c r="B61" s="78"/>
      <c r="C61" s="78"/>
      <c r="D61" s="78"/>
      <c r="E61" s="78"/>
      <c r="F61" s="78"/>
      <c r="G61" s="78"/>
      <c r="H61" s="78"/>
      <c r="I61" s="78"/>
      <c r="J61" s="78"/>
      <c r="K61" s="78"/>
      <c r="L61" s="78"/>
      <c r="M61" s="78"/>
      <c r="N61" s="78"/>
      <c r="O61" s="109">
        <f>O21+O56</f>
        <v>30.1</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t="s">
        <v>116</v>
      </c>
      <c r="B63" s="151"/>
      <c r="C63" s="151"/>
      <c r="D63" s="151"/>
      <c r="E63" s="151"/>
      <c r="F63" s="151"/>
      <c r="G63" s="151"/>
      <c r="H63" s="151"/>
      <c r="I63" s="151"/>
      <c r="J63" s="151"/>
      <c r="K63" s="151"/>
      <c r="L63" s="151"/>
      <c r="M63" s="151"/>
      <c r="N63" s="151"/>
      <c r="O63" s="190">
        <f>IF($D$17&lt;0,O58,IF(O58&gt;O61,O58,O61))</f>
        <v>30.1</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8"/>
  <sheetViews>
    <sheetView showGridLines="0" topLeftCell="A12" zoomScale="80" zoomScaleNormal="80" workbookViewId="0">
      <selection activeCell="D15" sqref="D1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287</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267">
        <f ca="1">TODAY()</f>
        <v>45532</v>
      </c>
      <c r="B6" s="210" t="s">
        <v>286</v>
      </c>
      <c r="C6" s="267"/>
      <c r="D6" s="267"/>
      <c r="E6" s="267"/>
      <c r="F6" s="267"/>
      <c r="G6" s="267"/>
      <c r="H6" s="267"/>
      <c r="I6" s="267"/>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ROUND(C14*C17,1)</f>
        <v>0</v>
      </c>
      <c r="E14" s="29" t="s">
        <v>45</v>
      </c>
      <c r="F14" s="30"/>
      <c r="G14" s="29" t="s">
        <v>15</v>
      </c>
      <c r="I14" s="53" t="s">
        <v>15</v>
      </c>
      <c r="J14" s="29"/>
      <c r="K14" s="29"/>
      <c r="L14" s="29"/>
      <c r="M14" s="29"/>
      <c r="N14" s="29"/>
    </row>
    <row r="15" spans="1:256" x14ac:dyDescent="0.2">
      <c r="A15" s="31" t="s">
        <v>29</v>
      </c>
      <c r="B15" s="31"/>
      <c r="C15" s="44">
        <f>'Customer Info'!B20</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C16*C17</f>
        <v>0</v>
      </c>
      <c r="E16" s="31" t="s">
        <v>41</v>
      </c>
      <c r="F16" s="33"/>
      <c r="G16" s="31"/>
      <c r="H16" s="31"/>
      <c r="I16" s="31"/>
      <c r="J16" s="31"/>
      <c r="K16" s="31"/>
      <c r="L16" s="31"/>
      <c r="M16" s="31"/>
      <c r="N16" s="31"/>
      <c r="O16" s="31"/>
    </row>
    <row r="17" spans="1:30" x14ac:dyDescent="0.2">
      <c r="A17" s="31" t="s">
        <v>53</v>
      </c>
      <c r="B17" s="31"/>
      <c r="C17" s="58">
        <f>+'Customer Info'!E19</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68" t="s">
        <v>15</v>
      </c>
      <c r="E18" s="568"/>
      <c r="F18" s="568"/>
      <c r="G18" s="568"/>
      <c r="H18" s="568"/>
      <c r="K18" s="31"/>
      <c r="L18" s="31"/>
      <c r="M18" s="31"/>
      <c r="N18" s="31"/>
      <c r="O18" s="50"/>
    </row>
    <row r="19" spans="1:30" x14ac:dyDescent="0.2">
      <c r="A19" s="31" t="s">
        <v>15</v>
      </c>
      <c r="B19" s="31"/>
      <c r="C19" s="82" t="s">
        <v>15</v>
      </c>
      <c r="D19" s="568" t="s">
        <v>15</v>
      </c>
      <c r="E19" s="568"/>
      <c r="F19" s="568"/>
      <c r="G19" s="568"/>
      <c r="H19" s="568"/>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560" t="s">
        <v>67</v>
      </c>
      <c r="H21" s="561"/>
      <c r="I21" s="561"/>
      <c r="J21" s="562"/>
      <c r="K21" s="22"/>
      <c r="L21" s="563" t="s">
        <v>68</v>
      </c>
      <c r="M21" s="563"/>
      <c r="N21" s="563"/>
      <c r="O21" s="563"/>
    </row>
    <row r="22" spans="1:30" x14ac:dyDescent="0.2">
      <c r="A22" s="18"/>
      <c r="B22" s="18"/>
      <c r="C22" s="18"/>
      <c r="D22" s="18"/>
      <c r="E22" s="18"/>
      <c r="F22" s="18"/>
      <c r="G22" s="8" t="s">
        <v>64</v>
      </c>
      <c r="H22" s="8" t="s">
        <v>65</v>
      </c>
      <c r="I22" s="8" t="s">
        <v>66</v>
      </c>
      <c r="J22" s="112" t="s">
        <v>34</v>
      </c>
      <c r="K22" s="18"/>
      <c r="L22" s="268" t="s">
        <v>64</v>
      </c>
      <c r="M22" s="268" t="s">
        <v>65</v>
      </c>
      <c r="N22" s="268" t="s">
        <v>66</v>
      </c>
      <c r="O22" s="132" t="s">
        <v>34</v>
      </c>
      <c r="P22" s="43" t="s">
        <v>56</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7">
        <v>2.05802E-2</v>
      </c>
      <c r="J24" s="277">
        <f>SUM(G24:I24)</f>
        <v>2.05802E-2</v>
      </c>
      <c r="K24" s="104" t="s">
        <v>42</v>
      </c>
      <c r="L24" s="87"/>
      <c r="M24" s="88"/>
      <c r="N24" s="278">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69</v>
      </c>
      <c r="D27" s="1"/>
      <c r="E27" s="1"/>
      <c r="K27" s="36"/>
      <c r="L27" s="36"/>
      <c r="M27" s="36"/>
      <c r="N27" s="36"/>
      <c r="O27" s="34"/>
      <c r="P27" s="34"/>
    </row>
    <row r="28" spans="1:30" x14ac:dyDescent="0.2">
      <c r="A28" s="37"/>
      <c r="D28" s="1"/>
      <c r="E28" s="1"/>
      <c r="K28" s="36"/>
      <c r="L28" s="36"/>
      <c r="M28" s="36"/>
      <c r="N28" s="36"/>
      <c r="O28" s="34"/>
    </row>
    <row r="29" spans="1:30" x14ac:dyDescent="0.2">
      <c r="A29" s="78" t="s">
        <v>78</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
      <c r="A30" s="78" t="s">
        <v>79</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
      <c r="A31" s="78" t="s">
        <v>47</v>
      </c>
      <c r="B31" t="s">
        <v>15</v>
      </c>
      <c r="D31" s="1">
        <f>IF('Customer Info'!$C$33=TRUE,0,IF(C16&lt;0,0,IF(C16&gt;2000,2000,C16)))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Info'!$C$33=TRUE,0,IF(C16&gt;15000,13000,IF(C16&gt;2000,C16-2000,0)))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Info'!$C$33=TRUE,0,IF(C16-D31-D32&gt;0,C16-D31-D32,0))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245</v>
      </c>
      <c r="B34" s="78"/>
      <c r="C34" s="78"/>
      <c r="D34" s="208">
        <f>$N$25</f>
        <v>9.4</v>
      </c>
      <c r="E34" s="101" t="s">
        <v>121</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194</v>
      </c>
      <c r="B35" s="78"/>
      <c r="C35" s="78"/>
      <c r="D35" s="100">
        <f>'Customer Info'!$B$22+'Customer Info'!$B$23-'Customer Info'!$B$24</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
      <c r="A36" s="241" t="s">
        <v>161</v>
      </c>
      <c r="B36" s="78"/>
      <c r="C36" s="78"/>
      <c r="D36" s="100">
        <f>'Customer Info'!$B$22+'Customer Info'!$B$23-'Customer Info'!$B$24</f>
        <v>0</v>
      </c>
      <c r="E36" s="101" t="s">
        <v>41</v>
      </c>
      <c r="F36" s="102" t="s">
        <v>8</v>
      </c>
      <c r="G36" s="103">
        <f>'Rider Rates'!B37</f>
        <v>2.65E-3</v>
      </c>
      <c r="H36" s="103"/>
      <c r="I36" s="103"/>
      <c r="J36" s="237">
        <f>SUM(G36:H36)</f>
        <v>2.65E-3</v>
      </c>
      <c r="K36" s="104" t="s">
        <v>42</v>
      </c>
      <c r="L36" s="105">
        <f>ROUND(D36*G36,2)</f>
        <v>0</v>
      </c>
      <c r="M36" s="105"/>
      <c r="N36" s="105"/>
      <c r="O36" s="105">
        <f t="shared" si="0"/>
        <v>0</v>
      </c>
      <c r="P36" s="245">
        <f>'Rider Rates'!$D$37</f>
        <v>45444</v>
      </c>
    </row>
    <row r="37" spans="1:221" x14ac:dyDescent="0.2">
      <c r="A37" s="210" t="s">
        <v>201</v>
      </c>
      <c r="B37" s="78"/>
      <c r="C37" s="78"/>
      <c r="D37" s="100">
        <f>'Customer Info'!$B$22+'Customer Info'!$B$23-'Customer Info'!$B$24</f>
        <v>0</v>
      </c>
      <c r="E37" s="101" t="s">
        <v>41</v>
      </c>
      <c r="F37" s="102" t="s">
        <v>8</v>
      </c>
      <c r="G37" s="103">
        <f>'Rider Rates'!$B$49</f>
        <v>-3.1569999999999998E-4</v>
      </c>
      <c r="H37" s="103"/>
      <c r="I37" s="103"/>
      <c r="J37" s="237">
        <f>SUM(G37:H37)</f>
        <v>-3.1569999999999998E-4</v>
      </c>
      <c r="K37" s="104" t="s">
        <v>42</v>
      </c>
      <c r="L37" s="105">
        <f>ROUND(D37*G37,2)</f>
        <v>0</v>
      </c>
      <c r="M37" s="105"/>
      <c r="N37" s="105"/>
      <c r="O37" s="105">
        <f t="shared" si="0"/>
        <v>0</v>
      </c>
      <c r="P37" s="245">
        <f>'Rider Rates'!$D$49</f>
        <v>45471</v>
      </c>
    </row>
    <row r="38" spans="1:221" x14ac:dyDescent="0.2">
      <c r="A38" s="241" t="s">
        <v>218</v>
      </c>
      <c r="B38" s="78"/>
      <c r="C38" s="78"/>
      <c r="D38" s="1">
        <f>IF($C$16&lt;0,0,IF($C$16&gt;833000,833000,$C$16))</f>
        <v>0</v>
      </c>
      <c r="E38" s="101" t="s">
        <v>41</v>
      </c>
      <c r="F38" s="102" t="s">
        <v>8</v>
      </c>
      <c r="G38" s="103"/>
      <c r="H38" s="103"/>
      <c r="I38" s="103">
        <f>'Rider Rates'!D53</f>
        <v>1.8006999999999999E-3</v>
      </c>
      <c r="J38" s="103">
        <f>SUM(G38:I38)</f>
        <v>1.8006999999999999E-3</v>
      </c>
      <c r="K38" s="104" t="s">
        <v>42</v>
      </c>
      <c r="L38" s="105"/>
      <c r="M38" s="105"/>
      <c r="N38" s="87">
        <f>D38*J38</f>
        <v>0</v>
      </c>
      <c r="O38" s="105">
        <f t="shared" si="0"/>
        <v>0</v>
      </c>
      <c r="P38" s="245">
        <f>'Rider Rates'!E53</f>
        <v>45474</v>
      </c>
    </row>
    <row r="39" spans="1:221" x14ac:dyDescent="0.2">
      <c r="A39" s="210" t="s">
        <v>197</v>
      </c>
      <c r="B39" s="78"/>
      <c r="C39" s="78"/>
      <c r="D39" s="1">
        <f>IF($C$16&lt;0,0,$C$16)</f>
        <v>0</v>
      </c>
      <c r="E39" s="113" t="s">
        <v>41</v>
      </c>
      <c r="F39" s="102" t="s">
        <v>8</v>
      </c>
      <c r="G39" s="103"/>
      <c r="H39" s="103">
        <f>'Rider Rates'!G59</f>
        <v>2.3467399999999999E-2</v>
      </c>
      <c r="I39" s="103"/>
      <c r="J39" s="103">
        <f>SUM(G39:I39)</f>
        <v>2.3467399999999999E-2</v>
      </c>
      <c r="K39" s="104" t="s">
        <v>42</v>
      </c>
      <c r="L39" s="105"/>
      <c r="M39" s="105">
        <f>ROUND(D39*H39,2)</f>
        <v>0</v>
      </c>
      <c r="N39" s="205"/>
      <c r="O39" s="105">
        <f t="shared" si="0"/>
        <v>0</v>
      </c>
      <c r="P39" s="245">
        <f>'Rider Rates'!H59</f>
        <v>45383</v>
      </c>
    </row>
    <row r="40" spans="1:221" x14ac:dyDescent="0.2">
      <c r="A40" s="99" t="s">
        <v>82</v>
      </c>
      <c r="B40" s="78"/>
      <c r="C40" s="78"/>
      <c r="D40" s="1">
        <f>IF('Customer Info'!C35=TRUE,0,IF($C$16&lt;0,0,$C$16))</f>
        <v>0</v>
      </c>
      <c r="E40" s="101" t="s">
        <v>41</v>
      </c>
      <c r="F40" s="102" t="s">
        <v>8</v>
      </c>
      <c r="G40" s="103"/>
      <c r="H40" s="103"/>
      <c r="I40" s="103">
        <f>'Rider Rates'!$B$75+'Rider Rates'!$C$75</f>
        <v>0</v>
      </c>
      <c r="J40" s="103">
        <f>SUM(G40:I40)</f>
        <v>0</v>
      </c>
      <c r="K40" s="104" t="s">
        <v>42</v>
      </c>
      <c r="L40" s="105"/>
      <c r="M40" s="105"/>
      <c r="N40" s="87">
        <f>ROUND($D$40*'Rider Rates'!$B$75,2)+ROUND($D$40*'Rider Rates'!$C$75,2)</f>
        <v>0</v>
      </c>
      <c r="O40" s="209">
        <f t="shared" si="0"/>
        <v>0</v>
      </c>
      <c r="P40" s="245">
        <f>'Rider Rates'!$D$75</f>
        <v>44531</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80</v>
      </c>
      <c r="B41" s="78"/>
      <c r="C41" s="78"/>
      <c r="D41" s="208">
        <f>$N$25</f>
        <v>9.4</v>
      </c>
      <c r="E41" s="101" t="s">
        <v>121</v>
      </c>
      <c r="F41" s="102" t="s">
        <v>8</v>
      </c>
      <c r="G41" s="111"/>
      <c r="H41" s="112"/>
      <c r="I41" s="120">
        <f>'Rider Rates'!$B$89</f>
        <v>2.9347000000000002E-2</v>
      </c>
      <c r="J41" s="120">
        <f>SUM(H41:I41)</f>
        <v>2.9347000000000002E-2</v>
      </c>
      <c r="K41" s="104"/>
      <c r="L41" s="105"/>
      <c r="M41" s="105"/>
      <c r="N41" s="105">
        <f>ROUND(N$25*I41,2)</f>
        <v>0.28000000000000003</v>
      </c>
      <c r="O41" s="209">
        <f t="shared" si="0"/>
        <v>0.28000000000000003</v>
      </c>
      <c r="P41" s="245">
        <f>'Rider Rates'!$D$89</f>
        <v>45383</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81</v>
      </c>
      <c r="B42" s="78"/>
      <c r="C42" s="78"/>
      <c r="D42" s="208">
        <f>$N$25</f>
        <v>9.4</v>
      </c>
      <c r="E42" s="101" t="s">
        <v>121</v>
      </c>
      <c r="F42" s="102" t="s">
        <v>8</v>
      </c>
      <c r="G42" s="114"/>
      <c r="H42" s="115"/>
      <c r="I42" s="120">
        <f>'Rider Rates'!$B$91</f>
        <v>6.6985699999999995E-2</v>
      </c>
      <c r="J42" s="120">
        <f>SUM(H42:I42)</f>
        <v>6.6985699999999995E-2</v>
      </c>
      <c r="K42" s="104"/>
      <c r="L42" s="105"/>
      <c r="M42" s="105"/>
      <c r="N42" s="105">
        <f>ROUND(N$25*I42,2)</f>
        <v>0.63</v>
      </c>
      <c r="O42" s="209">
        <f t="shared" si="0"/>
        <v>0.63</v>
      </c>
      <c r="P42" s="245">
        <f>'Rider Rates'!$D$91</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214</v>
      </c>
      <c r="B43" s="78"/>
      <c r="C43" s="78"/>
      <c r="D43" s="195"/>
      <c r="E43" s="113" t="s">
        <v>114</v>
      </c>
      <c r="F43" s="106"/>
      <c r="G43" s="114"/>
      <c r="H43" s="115"/>
      <c r="I43" s="196">
        <f>'Rider Rates'!$B$95</f>
        <v>11.97</v>
      </c>
      <c r="J43" s="196">
        <f>SUM(G43:I43)</f>
        <v>11.97</v>
      </c>
      <c r="K43" s="104"/>
      <c r="L43" s="105"/>
      <c r="M43" s="105"/>
      <c r="N43" s="105">
        <f>I43</f>
        <v>11.97</v>
      </c>
      <c r="O43" s="105">
        <f>SUM(L43:N43)</f>
        <v>11.97</v>
      </c>
      <c r="P43" s="245">
        <f>'Rider Rates'!$D$95</f>
        <v>45442</v>
      </c>
    </row>
    <row r="44" spans="1:221" x14ac:dyDescent="0.2">
      <c r="A44" s="241" t="s">
        <v>261</v>
      </c>
      <c r="B44" s="78"/>
      <c r="C44" s="78"/>
      <c r="D44" s="1">
        <f>$D$29</f>
        <v>0</v>
      </c>
      <c r="E44" s="101" t="s">
        <v>41</v>
      </c>
      <c r="F44" s="102" t="s">
        <v>8</v>
      </c>
      <c r="G44" s="103"/>
      <c r="H44" s="103"/>
      <c r="I44" s="103"/>
      <c r="J44" s="103">
        <f>'Rider Rates'!$B$100</f>
        <v>0</v>
      </c>
      <c r="K44" s="104" t="s">
        <v>42</v>
      </c>
      <c r="L44" s="105"/>
      <c r="M44" s="105"/>
      <c r="N44" s="87"/>
      <c r="O44" s="105">
        <f>ROUND($D44*('Rider Rates'!B$100),2)</f>
        <v>0</v>
      </c>
      <c r="P44" s="245">
        <f>'Rider Rates'!$D$100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262</v>
      </c>
      <c r="B45" s="78"/>
      <c r="C45" s="78"/>
      <c r="D45" s="1">
        <f>$D$30</f>
        <v>0</v>
      </c>
      <c r="E45" s="101" t="s">
        <v>41</v>
      </c>
      <c r="F45" s="102" t="s">
        <v>8</v>
      </c>
      <c r="G45" s="103"/>
      <c r="H45" s="103"/>
      <c r="I45" s="103"/>
      <c r="J45" s="103">
        <f>'Rider Rates'!$B$101</f>
        <v>0</v>
      </c>
      <c r="K45" s="104" t="s">
        <v>42</v>
      </c>
      <c r="L45" s="105"/>
      <c r="M45" s="105"/>
      <c r="N45" s="87"/>
      <c r="O45" s="105">
        <f>ROUND($D45*('Rider Rates'!B$101),2)</f>
        <v>0</v>
      </c>
      <c r="P45" s="245">
        <f>'Rider Rates'!$D$101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121</v>
      </c>
      <c r="F46" s="102" t="s">
        <v>8</v>
      </c>
      <c r="G46" s="114"/>
      <c r="H46" s="115"/>
      <c r="I46" s="120">
        <f>'Rider Rates'!$B$109</f>
        <v>0.211176</v>
      </c>
      <c r="J46" s="120">
        <f>SUM(H46:I46)</f>
        <v>0.211176</v>
      </c>
      <c r="K46" s="104"/>
      <c r="L46" s="105"/>
      <c r="M46" s="105"/>
      <c r="N46" s="105">
        <f>ROUND(N$25*I46,2)</f>
        <v>1.99</v>
      </c>
      <c r="O46" s="105">
        <f t="shared" si="0"/>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SUM(G47:I47)</f>
        <v>0</v>
      </c>
      <c r="K47" s="104"/>
      <c r="L47" s="105"/>
      <c r="M47" s="105"/>
      <c r="N47" s="105">
        <f>I47</f>
        <v>0</v>
      </c>
      <c r="O47" s="105">
        <f t="shared" ref="O47:O52" si="1">SUM(L47:N47)</f>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5.83</v>
      </c>
      <c r="J48" s="196">
        <f>SUM(G48:I48)</f>
        <v>5.83</v>
      </c>
      <c r="K48" s="104"/>
      <c r="L48" s="105"/>
      <c r="M48" s="105"/>
      <c r="N48" s="260">
        <f>I48</f>
        <v>5.83</v>
      </c>
      <c r="O48" s="105">
        <f t="shared" si="1"/>
        <v>5.83</v>
      </c>
      <c r="P48" s="245">
        <f>'Rider Rates'!D126</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99" t="s">
        <v>157</v>
      </c>
      <c r="B49" s="78"/>
      <c r="C49" s="78"/>
      <c r="D49" s="100">
        <f>'Customer Info'!$B$22+'Customer Info'!$B$23-'Customer Info'!$B$24</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1"/>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216</v>
      </c>
      <c r="B50" s="78"/>
      <c r="C50" s="78"/>
      <c r="D50" s="1">
        <f>IF($C$16&lt;1,0,$C$16)</f>
        <v>0</v>
      </c>
      <c r="E50" s="101" t="s">
        <v>41</v>
      </c>
      <c r="F50" s="249" t="s">
        <v>8</v>
      </c>
      <c r="G50" s="165"/>
      <c r="H50" s="165"/>
      <c r="I50" s="251">
        <f>'Rider Rates'!B122</f>
        <v>-6.2E-4</v>
      </c>
      <c r="J50" s="251">
        <f>SUM(G50:I50)</f>
        <v>-6.2E-4</v>
      </c>
      <c r="K50" s="104" t="s">
        <v>42</v>
      </c>
      <c r="L50" s="105"/>
      <c r="M50" s="105"/>
      <c r="N50" s="105">
        <f>D50*I50</f>
        <v>0</v>
      </c>
      <c r="O50" s="105">
        <f t="shared" si="1"/>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241</v>
      </c>
      <c r="B51" s="78"/>
      <c r="C51" s="78"/>
      <c r="D51" s="100">
        <f>IF(C16&lt;0,0,IF(C16&gt;833000,833000,C16))</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 t="shared" si="1"/>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242</v>
      </c>
      <c r="B52" s="78"/>
      <c r="C52" s="78"/>
      <c r="D52" s="123">
        <f>IF(C16&gt;833000,C16-833000,0)</f>
        <v>0</v>
      </c>
      <c r="E52" s="101" t="s">
        <v>41</v>
      </c>
      <c r="F52" s="102" t="s">
        <v>8</v>
      </c>
      <c r="G52" s="265"/>
      <c r="H52" s="265"/>
      <c r="I52" s="265">
        <f>'Rider Rates'!$B$131</f>
        <v>0</v>
      </c>
      <c r="J52" s="265">
        <f>SUM(G52:I52)</f>
        <v>0</v>
      </c>
      <c r="K52" s="104" t="s">
        <v>42</v>
      </c>
      <c r="L52" s="266"/>
      <c r="M52" s="266"/>
      <c r="N52" s="266">
        <f>D52*J52</f>
        <v>0</v>
      </c>
      <c r="O52" s="266">
        <f t="shared" si="1"/>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250</v>
      </c>
      <c r="B53" s="78"/>
      <c r="C53" s="78"/>
      <c r="D53" s="100">
        <f>D16</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70</v>
      </c>
      <c r="B56" s="148"/>
      <c r="C56" s="148"/>
      <c r="D56" s="180"/>
      <c r="E56" s="181"/>
      <c r="F56" s="182"/>
      <c r="G56" s="182"/>
      <c r="H56" s="182"/>
      <c r="I56" s="182"/>
      <c r="J56" s="182"/>
      <c r="K56" s="183"/>
      <c r="L56" s="169">
        <f>SUM(L29:L55)</f>
        <v>0</v>
      </c>
      <c r="M56" s="169">
        <f>SUM(M29:M55)</f>
        <v>0</v>
      </c>
      <c r="N56" s="169">
        <f>SUM(N29:N55)</f>
        <v>20.700000000000003</v>
      </c>
      <c r="O56" s="169">
        <f>SUM(O29:O55)</f>
        <v>20.700000000000003</v>
      </c>
      <c r="P56" s="184"/>
    </row>
    <row r="57" spans="1:221" x14ac:dyDescent="0.2">
      <c r="A57" s="37"/>
      <c r="D57" s="1"/>
      <c r="E57" s="35"/>
      <c r="F57" s="4"/>
      <c r="G57" s="42"/>
      <c r="H57" s="42"/>
      <c r="I57" s="42"/>
      <c r="J57" s="42"/>
      <c r="K57" s="36"/>
      <c r="L57" s="36"/>
      <c r="M57" s="36"/>
      <c r="N57" s="36"/>
      <c r="O57" s="34"/>
      <c r="P57" s="36"/>
    </row>
    <row r="58" spans="1:221" x14ac:dyDescent="0.2">
      <c r="A58" s="269" t="s">
        <v>71</v>
      </c>
      <c r="B58" s="92"/>
      <c r="C58" s="92"/>
      <c r="D58" s="92"/>
      <c r="E58" s="92"/>
      <c r="F58" s="92"/>
      <c r="G58" s="92"/>
      <c r="H58" s="92"/>
      <c r="I58" s="92"/>
      <c r="J58" s="92"/>
      <c r="K58" s="92"/>
      <c r="L58" s="98">
        <f>L25+L56</f>
        <v>0</v>
      </c>
      <c r="M58" s="98">
        <f>M25+M56</f>
        <v>0</v>
      </c>
      <c r="N58" s="98">
        <f>N25+N56</f>
        <v>30.1</v>
      </c>
      <c r="O58" s="98">
        <f>O25+O56</f>
        <v>30.1</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O23+O56</f>
        <v>30.1</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116</v>
      </c>
      <c r="B62" s="37"/>
      <c r="C62" s="37"/>
      <c r="D62" s="37"/>
      <c r="E62" s="37"/>
      <c r="F62" s="37"/>
      <c r="G62" s="46"/>
      <c r="H62" s="46"/>
      <c r="I62" s="46"/>
      <c r="J62" s="46"/>
      <c r="K62" s="36"/>
      <c r="L62" s="36"/>
      <c r="M62" s="36"/>
      <c r="N62" s="36"/>
      <c r="O62" s="138">
        <f>MAX($O$58,$O$60)</f>
        <v>30.1</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85</v>
      </c>
      <c r="H64" s="46"/>
      <c r="I64" s="37"/>
      <c r="J64" s="46"/>
      <c r="K64" s="36"/>
      <c r="L64" s="191"/>
      <c r="M64" s="191"/>
      <c r="N64" s="191"/>
      <c r="O64" s="191">
        <f>ROUND(IF($C$16&lt;1,0,$O$62/($C$16*100)*10000),2)</f>
        <v>0</v>
      </c>
      <c r="P64" s="37" t="s">
        <v>86</v>
      </c>
    </row>
    <row r="65" spans="1:16" x14ac:dyDescent="0.2">
      <c r="A65" s="37"/>
      <c r="B65" s="37"/>
      <c r="C65" s="37"/>
      <c r="D65" s="37"/>
      <c r="E65" s="37"/>
      <c r="F65" s="37"/>
      <c r="G65" s="242" t="s">
        <v>198</v>
      </c>
      <c r="H65" s="136"/>
      <c r="I65" s="133"/>
      <c r="J65" s="136"/>
      <c r="K65" s="137"/>
      <c r="L65" s="78"/>
      <c r="M65" s="78"/>
      <c r="N65" s="78"/>
      <c r="O65" s="243">
        <f>ROUND(IF($C$16&lt;1,0,(L58)/($C$16*100)*10000),2)</f>
        <v>0</v>
      </c>
      <c r="P65" s="25" t="s">
        <v>86</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547"/>
    </row>
    <row r="75" spans="1:16" x14ac:dyDescent="0.2">
      <c r="A75" s="547"/>
    </row>
    <row r="76" spans="1:16" x14ac:dyDescent="0.2">
      <c r="A76" s="547"/>
    </row>
    <row r="77" spans="1:16" x14ac:dyDescent="0.2">
      <c r="A77" s="547"/>
    </row>
    <row r="78" spans="1:16" x14ac:dyDescent="0.2">
      <c r="A78" s="547"/>
    </row>
    <row r="79" spans="1:16" x14ac:dyDescent="0.2">
      <c r="A79" s="547"/>
    </row>
    <row r="80" spans="1:1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sheetData>
  <sheetProtection algorithmName="SHA-512" hashValue="CteShjg+4VIfj6A4MhscPbxKlpNS/MgyBFk2mr2TuyVHllmbwsBrjUfxgsJXAk0NbnqhYQKAoa39e+fPNJS8kQ==" saltValue="abLXxkYmBYsG5KZczGUTE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IV88"/>
  <sheetViews>
    <sheetView showGridLines="0" topLeftCell="A11" zoomScale="80" zoomScaleNormal="80" workbookViewId="0">
      <selection activeCell="C9" sqref="C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272</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267">
        <f ca="1">TODAY()</f>
        <v>45532</v>
      </c>
      <c r="B6" s="210" t="s">
        <v>271</v>
      </c>
      <c r="C6" s="274"/>
      <c r="D6" s="274"/>
      <c r="E6" s="274"/>
      <c r="F6" s="274"/>
      <c r="G6" s="274"/>
      <c r="H6" s="274"/>
      <c r="I6" s="274"/>
      <c r="J6" s="274"/>
      <c r="K6" s="274"/>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ROUND(C14*C17,1)</f>
        <v>0</v>
      </c>
      <c r="E14" s="29" t="s">
        <v>45</v>
      </c>
      <c r="F14" s="30"/>
      <c r="G14" s="29" t="s">
        <v>15</v>
      </c>
      <c r="I14" s="53" t="s">
        <v>15</v>
      </c>
      <c r="J14" s="29"/>
      <c r="K14" s="29"/>
      <c r="L14" s="29"/>
      <c r="M14" s="29"/>
      <c r="N14" s="29"/>
    </row>
    <row r="15" spans="1:256" x14ac:dyDescent="0.2">
      <c r="A15" s="31" t="s">
        <v>29</v>
      </c>
      <c r="B15" s="31"/>
      <c r="C15" s="44">
        <f>'Customer Info'!B20</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C16*C17</f>
        <v>0</v>
      </c>
      <c r="E16" s="31" t="s">
        <v>41</v>
      </c>
      <c r="F16" s="33"/>
      <c r="G16" s="31"/>
      <c r="H16" s="31"/>
      <c r="I16" s="31"/>
      <c r="J16" s="31"/>
      <c r="K16" s="31"/>
      <c r="L16" s="31"/>
      <c r="M16" s="31"/>
      <c r="N16" s="31"/>
      <c r="O16" s="31"/>
    </row>
    <row r="17" spans="1:30" x14ac:dyDescent="0.2">
      <c r="A17" s="31" t="s">
        <v>53</v>
      </c>
      <c r="B17" s="31"/>
      <c r="C17" s="58">
        <f>+'Customer Info'!E19</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68" t="s">
        <v>15</v>
      </c>
      <c r="E18" s="568"/>
      <c r="F18" s="568"/>
      <c r="G18" s="568"/>
      <c r="H18" s="568"/>
      <c r="K18" s="31"/>
      <c r="L18" s="31"/>
      <c r="M18" s="31"/>
      <c r="N18" s="31"/>
      <c r="O18" s="50"/>
    </row>
    <row r="19" spans="1:30" x14ac:dyDescent="0.2">
      <c r="A19" s="31" t="s">
        <v>15</v>
      </c>
      <c r="B19" s="31"/>
      <c r="C19" s="82" t="s">
        <v>15</v>
      </c>
      <c r="D19" s="568" t="s">
        <v>15</v>
      </c>
      <c r="E19" s="568"/>
      <c r="F19" s="568"/>
      <c r="G19" s="568"/>
      <c r="H19" s="568"/>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560" t="s">
        <v>67</v>
      </c>
      <c r="H21" s="561"/>
      <c r="I21" s="561"/>
      <c r="J21" s="562"/>
      <c r="K21" s="22"/>
      <c r="L21" s="563" t="s">
        <v>68</v>
      </c>
      <c r="M21" s="563"/>
      <c r="N21" s="563"/>
      <c r="O21" s="563"/>
    </row>
    <row r="22" spans="1:30" x14ac:dyDescent="0.2">
      <c r="A22" s="18"/>
      <c r="B22" s="18"/>
      <c r="C22" s="18"/>
      <c r="D22" s="18"/>
      <c r="E22" s="18"/>
      <c r="F22" s="18"/>
      <c r="G22" s="8" t="s">
        <v>64</v>
      </c>
      <c r="H22" s="8" t="s">
        <v>65</v>
      </c>
      <c r="I22" s="8" t="s">
        <v>66</v>
      </c>
      <c r="J22" s="112" t="s">
        <v>34</v>
      </c>
      <c r="K22" s="18"/>
      <c r="L22" s="268" t="s">
        <v>64</v>
      </c>
      <c r="M22" s="268" t="s">
        <v>65</v>
      </c>
      <c r="N22" s="268" t="s">
        <v>66</v>
      </c>
      <c r="O22" s="132" t="s">
        <v>34</v>
      </c>
      <c r="P22" s="43" t="s">
        <v>56</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69</v>
      </c>
      <c r="D27" s="1"/>
      <c r="E27" s="1"/>
      <c r="K27" s="36"/>
      <c r="L27" s="36"/>
      <c r="M27" s="36"/>
      <c r="N27" s="36"/>
      <c r="O27" s="34"/>
      <c r="P27" s="34"/>
    </row>
    <row r="28" spans="1:30" x14ac:dyDescent="0.2">
      <c r="A28" s="37"/>
      <c r="D28" s="1"/>
      <c r="E28" s="1"/>
      <c r="K28" s="36"/>
      <c r="L28" s="36"/>
      <c r="M28" s="36"/>
      <c r="N28" s="36"/>
      <c r="O28" s="34"/>
    </row>
    <row r="29" spans="1:30" x14ac:dyDescent="0.2">
      <c r="A29" s="78" t="s">
        <v>78</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
      <c r="A30" s="78" t="s">
        <v>79</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
      <c r="A31" s="78" t="s">
        <v>47</v>
      </c>
      <c r="B31" t="s">
        <v>15</v>
      </c>
      <c r="D31" s="1">
        <f>IF('Customer Info'!$C$33=TRUE,0,IF(C16&lt;0,0,IF(C16&gt;2000,2000,C16)))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Info'!$C$33=TRUE,0,IF(C16&gt;15000,13000,IF(C16&gt;2000,C16-2000,0)))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Info'!$C$33=TRUE,0,IF(C16-D31-D32&gt;0,C16-D31-D32,0))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245</v>
      </c>
      <c r="B34" s="78"/>
      <c r="C34" s="78"/>
      <c r="D34" s="208">
        <f>$N$25</f>
        <v>138.5</v>
      </c>
      <c r="E34" s="101" t="s">
        <v>121</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194</v>
      </c>
      <c r="B35" s="78"/>
      <c r="C35" s="78"/>
      <c r="D35" s="100">
        <f>'Customer Info'!$B$22+'Customer Info'!$B$23-'Customer Info'!$B$24</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
      <c r="A36" s="241" t="s">
        <v>161</v>
      </c>
      <c r="B36" s="78"/>
      <c r="C36" s="78"/>
      <c r="D36" s="100">
        <f>'Customer Info'!$B$22+'Customer Info'!$B$23-'Customer Info'!$B$24</f>
        <v>0</v>
      </c>
      <c r="E36" s="101" t="s">
        <v>41</v>
      </c>
      <c r="F36" s="102" t="s">
        <v>8</v>
      </c>
      <c r="G36" s="103">
        <f>'Rider Rates'!$B$42</f>
        <v>2.14E-3</v>
      </c>
      <c r="H36" s="103"/>
      <c r="I36" s="103"/>
      <c r="J36" s="237">
        <f>SUM(G36:H36)</f>
        <v>2.14E-3</v>
      </c>
      <c r="K36" s="104" t="s">
        <v>42</v>
      </c>
      <c r="L36" s="105">
        <f>ROUND(D36*G36,2)</f>
        <v>0</v>
      </c>
      <c r="M36" s="105"/>
      <c r="N36" s="105"/>
      <c r="O36" s="105">
        <f t="shared" si="0"/>
        <v>0</v>
      </c>
      <c r="P36" s="245">
        <f>'Rider Rates'!$D$42</f>
        <v>45444</v>
      </c>
    </row>
    <row r="37" spans="1:221" x14ac:dyDescent="0.2">
      <c r="A37" s="210" t="s">
        <v>201</v>
      </c>
      <c r="B37" s="78"/>
      <c r="C37" s="78"/>
      <c r="D37" s="100">
        <f>'Customer Info'!$B$22+'Customer Info'!$B$23-'Customer Info'!$B$24</f>
        <v>0</v>
      </c>
      <c r="E37" s="101" t="s">
        <v>41</v>
      </c>
      <c r="F37" s="102" t="s">
        <v>8</v>
      </c>
      <c r="G37" s="103">
        <f>'Rider Rates'!$B$49</f>
        <v>-3.1569999999999998E-4</v>
      </c>
      <c r="H37" s="103"/>
      <c r="I37" s="103"/>
      <c r="J37" s="237">
        <f>SUM(G37:H37)</f>
        <v>-3.1569999999999998E-4</v>
      </c>
      <c r="K37" s="104" t="s">
        <v>42</v>
      </c>
      <c r="L37" s="105">
        <f>ROUND(D37*G37,2)</f>
        <v>0</v>
      </c>
      <c r="M37" s="105"/>
      <c r="N37" s="105"/>
      <c r="O37" s="105">
        <f t="shared" si="0"/>
        <v>0</v>
      </c>
      <c r="P37" s="245">
        <f>'Rider Rates'!$D$49</f>
        <v>45471</v>
      </c>
    </row>
    <row r="38" spans="1:221" x14ac:dyDescent="0.2">
      <c r="A38" s="241" t="s">
        <v>218</v>
      </c>
      <c r="B38" s="78"/>
      <c r="C38" s="78"/>
      <c r="D38" s="1">
        <f>IF($C$16&lt;0,0,IF($C$16&gt;833000,833000,$C$16))</f>
        <v>0</v>
      </c>
      <c r="E38" s="101" t="s">
        <v>41</v>
      </c>
      <c r="F38" s="102" t="s">
        <v>8</v>
      </c>
      <c r="G38" s="103"/>
      <c r="H38" s="103"/>
      <c r="I38" s="103">
        <f>'Rider Rates'!D53</f>
        <v>1.8006999999999999E-3</v>
      </c>
      <c r="J38" s="103">
        <f>SUM(G38:I38)</f>
        <v>1.8006999999999999E-3</v>
      </c>
      <c r="K38" s="104" t="s">
        <v>42</v>
      </c>
      <c r="L38" s="105"/>
      <c r="M38" s="105"/>
      <c r="N38" s="87">
        <f>D38*J38</f>
        <v>0</v>
      </c>
      <c r="O38" s="105">
        <f t="shared" si="0"/>
        <v>0</v>
      </c>
      <c r="P38" s="245">
        <f>'Rider Rates'!E53</f>
        <v>45474</v>
      </c>
    </row>
    <row r="39" spans="1:221" x14ac:dyDescent="0.2">
      <c r="A39" s="210" t="s">
        <v>197</v>
      </c>
      <c r="B39" s="78"/>
      <c r="C39" s="78"/>
      <c r="D39" s="1">
        <f>IF($C$16&lt;0,0,$C$16)</f>
        <v>0</v>
      </c>
      <c r="E39" s="113" t="s">
        <v>41</v>
      </c>
      <c r="F39" s="102" t="s">
        <v>8</v>
      </c>
      <c r="G39" s="103"/>
      <c r="H39" s="103">
        <f>'Rider Rates'!G60</f>
        <v>3.2698999999999999E-2</v>
      </c>
      <c r="I39" s="103"/>
      <c r="J39" s="103">
        <f>SUM(G39:I39)</f>
        <v>3.2698999999999999E-2</v>
      </c>
      <c r="K39" s="104" t="s">
        <v>42</v>
      </c>
      <c r="L39" s="105"/>
      <c r="M39" s="105">
        <f>ROUND(D39*H39,2)</f>
        <v>0</v>
      </c>
      <c r="N39" s="205"/>
      <c r="O39" s="105">
        <f t="shared" si="0"/>
        <v>0</v>
      </c>
      <c r="P39" s="245">
        <f>'Rider Rates'!H60</f>
        <v>45383</v>
      </c>
    </row>
    <row r="40" spans="1:221" x14ac:dyDescent="0.2">
      <c r="A40" s="99" t="s">
        <v>82</v>
      </c>
      <c r="B40" s="78"/>
      <c r="C40" s="78"/>
      <c r="D40" s="1">
        <f>IF('Customer Info'!C35=TRUE,0,IF($C$16&lt;0,0,$C$16))</f>
        <v>0</v>
      </c>
      <c r="E40" s="101" t="s">
        <v>41</v>
      </c>
      <c r="F40" s="102" t="s">
        <v>8</v>
      </c>
      <c r="G40" s="103"/>
      <c r="H40" s="103"/>
      <c r="I40" s="103">
        <f>'Rider Rates'!$B$75+'Rider Rates'!$C$75</f>
        <v>0</v>
      </c>
      <c r="J40" s="103">
        <f>SUM(G40:I40)</f>
        <v>0</v>
      </c>
      <c r="K40" s="104" t="s">
        <v>42</v>
      </c>
      <c r="L40" s="105"/>
      <c r="M40" s="105"/>
      <c r="N40" s="87">
        <f>ROUND($D$40*'Rider Rates'!$B$75,2)+ROUND($D$40*'Rider Rates'!$C$75,2)</f>
        <v>0</v>
      </c>
      <c r="O40" s="209">
        <f t="shared" si="0"/>
        <v>0</v>
      </c>
      <c r="P40" s="245">
        <f>'Rider Rates'!$D$75</f>
        <v>44531</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80</v>
      </c>
      <c r="B41" s="78"/>
      <c r="C41" s="78"/>
      <c r="D41" s="208">
        <f>$N$25</f>
        <v>138.5</v>
      </c>
      <c r="E41" s="101" t="s">
        <v>121</v>
      </c>
      <c r="F41" s="102" t="s">
        <v>8</v>
      </c>
      <c r="G41" s="111"/>
      <c r="H41" s="112"/>
      <c r="I41" s="120">
        <f>'Rider Rates'!$B$89</f>
        <v>2.9347000000000002E-2</v>
      </c>
      <c r="J41" s="120">
        <f>SUM(H41:I41)</f>
        <v>2.9347000000000002E-2</v>
      </c>
      <c r="K41" s="104"/>
      <c r="L41" s="105"/>
      <c r="M41" s="105"/>
      <c r="N41" s="105">
        <f>ROUND(N$25*I41,2)</f>
        <v>4.0599999999999996</v>
      </c>
      <c r="O41" s="209">
        <f t="shared" si="0"/>
        <v>4.0599999999999996</v>
      </c>
      <c r="P41" s="245">
        <f>'Rider Rates'!$D$89</f>
        <v>45383</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81</v>
      </c>
      <c r="B42" s="78"/>
      <c r="C42" s="78"/>
      <c r="D42" s="208">
        <f>$N$25</f>
        <v>138.5</v>
      </c>
      <c r="E42" s="101" t="s">
        <v>121</v>
      </c>
      <c r="F42" s="102" t="s">
        <v>8</v>
      </c>
      <c r="G42" s="114"/>
      <c r="H42" s="115"/>
      <c r="I42" s="120">
        <f>'Rider Rates'!$B$91</f>
        <v>6.6985699999999995E-2</v>
      </c>
      <c r="J42" s="120">
        <f>SUM(H42:I42)</f>
        <v>6.6985699999999995E-2</v>
      </c>
      <c r="K42" s="104"/>
      <c r="L42" s="105"/>
      <c r="M42" s="105"/>
      <c r="N42" s="105">
        <f>ROUND(N$25*I42,2)</f>
        <v>9.2799999999999994</v>
      </c>
      <c r="O42" s="209">
        <f t="shared" si="0"/>
        <v>9.2799999999999994</v>
      </c>
      <c r="P42" s="245">
        <f>'Rider Rates'!$D$91</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214</v>
      </c>
      <c r="B43" s="78"/>
      <c r="C43" s="78"/>
      <c r="D43" s="195"/>
      <c r="E43" s="113" t="s">
        <v>114</v>
      </c>
      <c r="F43" s="106"/>
      <c r="G43" s="114"/>
      <c r="H43" s="115"/>
      <c r="I43" s="196">
        <f>'Rider Rates'!$B$95</f>
        <v>11.97</v>
      </c>
      <c r="J43" s="196">
        <f>SUM(G43:I43)</f>
        <v>11.97</v>
      </c>
      <c r="K43" s="104"/>
      <c r="L43" s="105"/>
      <c r="M43" s="105"/>
      <c r="N43" s="105">
        <f>I43</f>
        <v>11.97</v>
      </c>
      <c r="O43" s="105">
        <f>SUM(L43:N43)</f>
        <v>11.97</v>
      </c>
      <c r="P43" s="245">
        <f>'Rider Rates'!$D$95</f>
        <v>45442</v>
      </c>
    </row>
    <row r="44" spans="1:221" x14ac:dyDescent="0.2">
      <c r="A44" s="241" t="s">
        <v>261</v>
      </c>
      <c r="B44" s="78"/>
      <c r="C44" s="78"/>
      <c r="D44" s="1">
        <f>$D$29</f>
        <v>0</v>
      </c>
      <c r="E44" s="101" t="s">
        <v>41</v>
      </c>
      <c r="F44" s="102" t="s">
        <v>8</v>
      </c>
      <c r="G44" s="103"/>
      <c r="H44" s="103"/>
      <c r="I44" s="103"/>
      <c r="J44" s="103">
        <f>'Rider Rates'!$B$100</f>
        <v>0</v>
      </c>
      <c r="K44" s="104" t="s">
        <v>42</v>
      </c>
      <c r="L44" s="105"/>
      <c r="M44" s="105"/>
      <c r="N44" s="87"/>
      <c r="O44" s="105">
        <f>ROUND($D44*('Rider Rates'!B$100),2)</f>
        <v>0</v>
      </c>
      <c r="P44" s="245">
        <f>'Rider Rates'!$D$100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262</v>
      </c>
      <c r="B45" s="78"/>
      <c r="C45" s="78"/>
      <c r="D45" s="1">
        <f>$D$30</f>
        <v>0</v>
      </c>
      <c r="E45" s="101" t="s">
        <v>41</v>
      </c>
      <c r="F45" s="102" t="s">
        <v>8</v>
      </c>
      <c r="G45" s="103"/>
      <c r="H45" s="103"/>
      <c r="I45" s="103"/>
      <c r="J45" s="103">
        <f>'Rider Rates'!$B$101</f>
        <v>0</v>
      </c>
      <c r="K45" s="104" t="s">
        <v>42</v>
      </c>
      <c r="L45" s="105"/>
      <c r="M45" s="105"/>
      <c r="N45" s="87"/>
      <c r="O45" s="105">
        <f>ROUND($D45*('Rider Rates'!B$101),2)</f>
        <v>0</v>
      </c>
      <c r="P45" s="245">
        <f>'Rider Rates'!$D$101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121</v>
      </c>
      <c r="F46" s="102" t="s">
        <v>8</v>
      </c>
      <c r="G46" s="114"/>
      <c r="H46" s="115"/>
      <c r="I46" s="120">
        <f>'Rider Rates'!$B$109</f>
        <v>0.211176</v>
      </c>
      <c r="J46" s="120">
        <f>SUM(H46:I46)</f>
        <v>0.211176</v>
      </c>
      <c r="K46" s="104"/>
      <c r="L46" s="105"/>
      <c r="M46" s="105"/>
      <c r="N46" s="105">
        <f>ROUND(N$25*I46,2)</f>
        <v>29.25</v>
      </c>
      <c r="O46" s="105">
        <f t="shared" si="0"/>
        <v>29.25</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SUM(G47:I47)</f>
        <v>0</v>
      </c>
      <c r="K47" s="104"/>
      <c r="L47" s="105"/>
      <c r="M47" s="105"/>
      <c r="N47" s="105">
        <f>I47</f>
        <v>0</v>
      </c>
      <c r="O47" s="105">
        <f t="shared" ref="O47:O52" si="1">SUM(L47:N47)</f>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5.83</v>
      </c>
      <c r="J48" s="196">
        <f>SUM(G48:I48)</f>
        <v>5.83</v>
      </c>
      <c r="K48" s="104"/>
      <c r="L48" s="105"/>
      <c r="M48" s="105"/>
      <c r="N48" s="260">
        <f>I48</f>
        <v>5.83</v>
      </c>
      <c r="O48" s="105">
        <f t="shared" si="1"/>
        <v>5.83</v>
      </c>
      <c r="P48" s="245">
        <f>'Rider Rates'!D126</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99" t="s">
        <v>157</v>
      </c>
      <c r="B49" s="78"/>
      <c r="C49" s="78"/>
      <c r="D49" s="100">
        <f>'Customer Info'!$B$22+'Customer Info'!$B$23-'Customer Info'!$B$24</f>
        <v>0</v>
      </c>
      <c r="E49" s="101" t="s">
        <v>41</v>
      </c>
      <c r="F49" s="102" t="s">
        <v>8</v>
      </c>
      <c r="G49" s="103">
        <f>'Rider Rates'!$B$117</f>
        <v>3.7618E-3</v>
      </c>
      <c r="H49" s="103"/>
      <c r="I49" s="120"/>
      <c r="J49" s="237">
        <f>SUM(G49:H49)</f>
        <v>3.7618E-3</v>
      </c>
      <c r="K49" s="104" t="s">
        <v>42</v>
      </c>
      <c r="L49" s="105">
        <f>ROUND(D49*G49,2)</f>
        <v>0</v>
      </c>
      <c r="M49" s="105"/>
      <c r="N49" s="105"/>
      <c r="O49" s="105">
        <f t="shared" si="1"/>
        <v>0</v>
      </c>
      <c r="P49" s="245">
        <f>'Rider Rates'!$D$117</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216</v>
      </c>
      <c r="B50" s="78"/>
      <c r="C50" s="78"/>
      <c r="D50" s="1">
        <f>IF($C$16&lt;1,0,$C$16)</f>
        <v>0</v>
      </c>
      <c r="E50" s="101" t="s">
        <v>41</v>
      </c>
      <c r="F50" s="249" t="s">
        <v>8</v>
      </c>
      <c r="G50" s="165"/>
      <c r="H50" s="165"/>
      <c r="I50" s="251">
        <f>'Rider Rates'!B122</f>
        <v>-6.2E-4</v>
      </c>
      <c r="J50" s="251">
        <f>SUM(G50:I50)</f>
        <v>-6.2E-4</v>
      </c>
      <c r="K50" s="104" t="s">
        <v>42</v>
      </c>
      <c r="L50" s="105"/>
      <c r="M50" s="105"/>
      <c r="N50" s="105">
        <f>D50*I50</f>
        <v>0</v>
      </c>
      <c r="O50" s="105">
        <f t="shared" si="1"/>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241</v>
      </c>
      <c r="B51" s="78"/>
      <c r="C51" s="78"/>
      <c r="D51" s="100">
        <f>IF(C16&lt;0,0,IF(C16&gt;833000,833000,C16))</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 t="shared" si="1"/>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242</v>
      </c>
      <c r="B52" s="78"/>
      <c r="C52" s="78"/>
      <c r="D52" s="123">
        <f>IF(C16&gt;833000,C16-833000,0)</f>
        <v>0</v>
      </c>
      <c r="E52" s="101" t="s">
        <v>41</v>
      </c>
      <c r="F52" s="102" t="s">
        <v>8</v>
      </c>
      <c r="G52" s="265"/>
      <c r="H52" s="265"/>
      <c r="I52" s="265">
        <f>'Rider Rates'!$B$131</f>
        <v>0</v>
      </c>
      <c r="J52" s="265">
        <f>SUM(G52:I52)</f>
        <v>0</v>
      </c>
      <c r="K52" s="104" t="s">
        <v>42</v>
      </c>
      <c r="L52" s="266"/>
      <c r="M52" s="266"/>
      <c r="N52" s="266">
        <f>D52*J52</f>
        <v>0</v>
      </c>
      <c r="O52" s="266">
        <f t="shared" si="1"/>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250</v>
      </c>
      <c r="B53" s="78"/>
      <c r="C53" s="78"/>
      <c r="D53" s="100">
        <f>D16</f>
        <v>0</v>
      </c>
      <c r="E53" s="101" t="s">
        <v>41</v>
      </c>
      <c r="F53" s="249" t="s">
        <v>8</v>
      </c>
      <c r="G53" s="103"/>
      <c r="H53" s="103"/>
      <c r="I53" s="103">
        <f>'Rider Rates'!$B$137</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70</v>
      </c>
      <c r="B56" s="148"/>
      <c r="C56" s="148"/>
      <c r="D56" s="180"/>
      <c r="E56" s="181"/>
      <c r="F56" s="182"/>
      <c r="G56" s="182"/>
      <c r="H56" s="182"/>
      <c r="I56" s="182"/>
      <c r="J56" s="182"/>
      <c r="K56" s="183"/>
      <c r="L56" s="169">
        <f>SUM(L29:L55)</f>
        <v>0</v>
      </c>
      <c r="M56" s="169">
        <f>SUM(M29:M55)</f>
        <v>0</v>
      </c>
      <c r="N56" s="169">
        <f>SUM(N29:N55)</f>
        <v>60.39</v>
      </c>
      <c r="O56" s="169">
        <f>SUM(O29:O55)</f>
        <v>60.39</v>
      </c>
      <c r="P56" s="184"/>
    </row>
    <row r="57" spans="1:221" x14ac:dyDescent="0.2">
      <c r="A57" s="37"/>
      <c r="D57" s="1"/>
      <c r="E57" s="35"/>
      <c r="F57" s="4"/>
      <c r="G57" s="42"/>
      <c r="H57" s="42"/>
      <c r="I57" s="42"/>
      <c r="J57" s="42"/>
      <c r="K57" s="36"/>
      <c r="L57" s="36"/>
      <c r="M57" s="36"/>
      <c r="N57" s="36"/>
      <c r="O57" s="34"/>
      <c r="P57" s="36"/>
    </row>
    <row r="58" spans="1:221" x14ac:dyDescent="0.2">
      <c r="A58" s="269" t="s">
        <v>71</v>
      </c>
      <c r="B58" s="92"/>
      <c r="C58" s="92"/>
      <c r="D58" s="92"/>
      <c r="E58" s="92"/>
      <c r="F58" s="92"/>
      <c r="G58" s="92"/>
      <c r="H58" s="92"/>
      <c r="I58" s="92"/>
      <c r="J58" s="92"/>
      <c r="K58" s="92"/>
      <c r="L58" s="98">
        <f>L25+L56</f>
        <v>0</v>
      </c>
      <c r="M58" s="98">
        <f>M25+M56</f>
        <v>0</v>
      </c>
      <c r="N58" s="98">
        <f>N25+N56</f>
        <v>198.89</v>
      </c>
      <c r="O58" s="98">
        <f>O25+O56</f>
        <v>198.89</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O23+O56</f>
        <v>198.89</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116</v>
      </c>
      <c r="B62" s="37"/>
      <c r="C62" s="37"/>
      <c r="D62" s="37"/>
      <c r="E62" s="37"/>
      <c r="F62" s="37"/>
      <c r="G62" s="46"/>
      <c r="H62" s="46"/>
      <c r="I62" s="46"/>
      <c r="J62" s="46"/>
      <c r="K62" s="36"/>
      <c r="L62" s="36"/>
      <c r="M62" s="36"/>
      <c r="N62" s="36"/>
      <c r="O62" s="138">
        <f>MAX($O$58,$O$60)</f>
        <v>198.89</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85</v>
      </c>
      <c r="H64" s="46"/>
      <c r="I64" s="37"/>
      <c r="J64" s="46"/>
      <c r="K64" s="36"/>
      <c r="L64" s="191"/>
      <c r="M64" s="191"/>
      <c r="N64" s="191"/>
      <c r="O64" s="191">
        <f>ROUND(IF($C$16&lt;1,0,$O$62/($C$16*100)*10000),2)</f>
        <v>0</v>
      </c>
      <c r="P64" s="37" t="s">
        <v>86</v>
      </c>
    </row>
    <row r="65" spans="1:16" x14ac:dyDescent="0.2">
      <c r="A65" s="37"/>
      <c r="B65" s="37"/>
      <c r="C65" s="37"/>
      <c r="D65" s="37"/>
      <c r="E65" s="37"/>
      <c r="F65" s="37"/>
      <c r="G65" s="242" t="s">
        <v>198</v>
      </c>
      <c r="H65" s="136"/>
      <c r="I65" s="133"/>
      <c r="J65" s="136"/>
      <c r="K65" s="137"/>
      <c r="L65" s="78"/>
      <c r="M65" s="78"/>
      <c r="N65" s="78"/>
      <c r="O65" s="243">
        <f>ROUND(IF($C$16&lt;1,0,(L58)/($C$16*100)*10000),2)</f>
        <v>0</v>
      </c>
      <c r="P65" s="25" t="s">
        <v>86</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547"/>
    </row>
    <row r="75" spans="1:16" x14ac:dyDescent="0.2">
      <c r="A75" s="547"/>
    </row>
    <row r="76" spans="1:16" x14ac:dyDescent="0.2">
      <c r="A76" s="547"/>
    </row>
    <row r="77" spans="1:16" x14ac:dyDescent="0.2">
      <c r="A77" s="547"/>
    </row>
    <row r="78" spans="1:16" x14ac:dyDescent="0.2">
      <c r="A78" s="547"/>
    </row>
    <row r="79" spans="1:16" x14ac:dyDescent="0.2">
      <c r="A79" s="547"/>
    </row>
    <row r="80" spans="1:1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sheetData>
  <sheetProtection password="D7E1"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03C7D-4994-41C9-94A3-ACBE6074D38D}">
  <sheetPr codeName="Sheet11"/>
  <dimension ref="A1:IB66"/>
  <sheetViews>
    <sheetView topLeftCell="A14" zoomScale="85" zoomScaleNormal="85" workbookViewId="0">
      <selection activeCell="E22" sqref="E22"/>
    </sheetView>
  </sheetViews>
  <sheetFormatPr defaultColWidth="8.5703125" defaultRowHeight="12.75" x14ac:dyDescent="0.2"/>
  <cols>
    <col min="1" max="1" width="31" style="430" customWidth="1"/>
    <col min="2" max="2" width="2.140625" style="430" customWidth="1"/>
    <col min="3" max="3" width="21.140625" style="430" customWidth="1"/>
    <col min="4" max="4" width="15.42578125" style="430" customWidth="1"/>
    <col min="5" max="5" width="10.140625" style="430" customWidth="1"/>
    <col min="6" max="6" width="5.5703125" style="430" customWidth="1"/>
    <col min="7" max="8" width="13.42578125" style="430" customWidth="1"/>
    <col min="9" max="9" width="14.5703125" style="430" customWidth="1"/>
    <col min="10" max="10" width="13.42578125" style="430" customWidth="1"/>
    <col min="11" max="11" width="7" style="430" customWidth="1"/>
    <col min="12" max="12" width="15.140625" style="430" customWidth="1"/>
    <col min="13" max="13" width="17.42578125" style="430" bestFit="1" customWidth="1"/>
    <col min="14" max="14" width="16.5703125" style="430" customWidth="1"/>
    <col min="15" max="15" width="19.140625" style="430" bestFit="1" customWidth="1"/>
    <col min="16" max="16" width="12.85546875" style="430" bestFit="1" customWidth="1"/>
    <col min="17" max="17" width="8.5703125" style="430"/>
    <col min="18" max="18" width="9.140625" style="430" hidden="1" customWidth="1"/>
    <col min="19" max="26" width="10.42578125" style="430" hidden="1" customWidth="1"/>
    <col min="27" max="27" width="10.5703125" style="430" hidden="1" customWidth="1"/>
    <col min="28" max="30" width="10.42578125" style="430" hidden="1" customWidth="1"/>
    <col min="31" max="16384" width="8.5703125" style="430"/>
  </cols>
  <sheetData>
    <row r="1" spans="1:30" ht="20.25" x14ac:dyDescent="0.3">
      <c r="A1" s="573" t="s">
        <v>119</v>
      </c>
      <c r="B1" s="573"/>
      <c r="C1" s="573"/>
      <c r="D1" s="573"/>
      <c r="E1" s="573"/>
      <c r="F1" s="573"/>
      <c r="G1" s="573"/>
      <c r="H1" s="573"/>
      <c r="I1" s="573"/>
      <c r="J1" s="573"/>
      <c r="K1" s="573"/>
      <c r="L1" s="573"/>
      <c r="M1" s="573"/>
      <c r="N1" s="573"/>
      <c r="O1" s="573"/>
      <c r="P1" s="573"/>
    </row>
    <row r="2" spans="1:30" ht="20.25" x14ac:dyDescent="0.3">
      <c r="A2" s="573" t="s">
        <v>122</v>
      </c>
      <c r="B2" s="573"/>
      <c r="C2" s="573"/>
      <c r="D2" s="573"/>
      <c r="E2" s="573"/>
      <c r="F2" s="573"/>
      <c r="G2" s="573"/>
      <c r="H2" s="573"/>
      <c r="I2" s="573"/>
      <c r="J2" s="573"/>
      <c r="K2" s="573"/>
      <c r="L2" s="573"/>
      <c r="M2" s="573"/>
      <c r="N2" s="573"/>
      <c r="O2" s="573"/>
      <c r="P2" s="573"/>
    </row>
    <row r="3" spans="1:30" ht="18" x14ac:dyDescent="0.25">
      <c r="A3" s="574" t="s">
        <v>332</v>
      </c>
      <c r="B3" s="574"/>
      <c r="C3" s="574"/>
      <c r="D3" s="574"/>
      <c r="E3" s="574"/>
      <c r="F3" s="574"/>
      <c r="G3" s="574"/>
      <c r="H3" s="574"/>
      <c r="I3" s="574"/>
      <c r="J3" s="574"/>
      <c r="K3" s="574"/>
      <c r="L3" s="574"/>
      <c r="M3" s="574"/>
      <c r="N3" s="574"/>
      <c r="O3" s="574"/>
      <c r="P3" s="574"/>
    </row>
    <row r="4" spans="1:30" ht="15.75" x14ac:dyDescent="0.25">
      <c r="A4" s="575" t="str">
        <f>'Customer Info'!B12</f>
        <v>Breakdown of Charges Based on Entered Information</v>
      </c>
      <c r="B4" s="575"/>
      <c r="C4" s="575"/>
      <c r="D4" s="575"/>
      <c r="E4" s="575"/>
      <c r="F4" s="575"/>
      <c r="G4" s="575"/>
      <c r="H4" s="575"/>
      <c r="I4" s="575"/>
      <c r="J4" s="575"/>
      <c r="K4" s="575"/>
      <c r="L4" s="575"/>
      <c r="M4" s="575"/>
      <c r="N4" s="575"/>
      <c r="O4" s="575"/>
      <c r="P4" s="575"/>
    </row>
    <row r="5" spans="1:30" ht="15" x14ac:dyDescent="0.2">
      <c r="A5" s="429"/>
      <c r="B5" s="429"/>
      <c r="C5" s="429"/>
      <c r="D5" s="429"/>
      <c r="E5" s="429"/>
      <c r="F5" s="429"/>
      <c r="G5" s="429"/>
      <c r="H5" s="429" t="s">
        <v>335</v>
      </c>
      <c r="I5" s="429"/>
      <c r="J5" s="429"/>
      <c r="K5" s="429"/>
    </row>
    <row r="6" spans="1:30" x14ac:dyDescent="0.2">
      <c r="A6" s="431">
        <f ca="1">TODAY()</f>
        <v>45532</v>
      </c>
      <c r="B6" s="432"/>
      <c r="C6" s="431"/>
      <c r="D6" s="431"/>
      <c r="E6" s="431"/>
      <c r="F6" s="431"/>
      <c r="G6" s="431"/>
      <c r="H6" s="431"/>
      <c r="I6" s="431"/>
    </row>
    <row r="7" spans="1:30" ht="26.25" x14ac:dyDescent="0.4">
      <c r="A7" s="576"/>
      <c r="B7" s="576"/>
      <c r="C7" s="576"/>
      <c r="D7" s="576"/>
      <c r="E7" s="576"/>
      <c r="F7" s="576"/>
      <c r="G7" s="576"/>
      <c r="H7" s="576"/>
      <c r="I7" s="576"/>
      <c r="J7" s="576"/>
      <c r="K7" s="576"/>
      <c r="L7" s="576"/>
      <c r="M7" s="576"/>
      <c r="N7" s="576"/>
      <c r="O7" s="576"/>
      <c r="P7" s="576"/>
    </row>
    <row r="8" spans="1:30" x14ac:dyDescent="0.2">
      <c r="C8" s="433"/>
      <c r="D8" s="433"/>
      <c r="E8" s="433"/>
      <c r="F8" s="433"/>
      <c r="G8" s="433"/>
      <c r="H8" s="433"/>
      <c r="I8" s="433"/>
      <c r="J8" s="433"/>
      <c r="K8" s="433"/>
    </row>
    <row r="9" spans="1:30" ht="15" x14ac:dyDescent="0.2">
      <c r="A9" s="434" t="s">
        <v>2</v>
      </c>
      <c r="B9" s="435"/>
      <c r="C9" s="436">
        <f>'Customer Info'!B7</f>
        <v>0</v>
      </c>
      <c r="I9" s="437"/>
    </row>
    <row r="10" spans="1:30" ht="15" x14ac:dyDescent="0.2">
      <c r="A10" s="438" t="s">
        <v>26</v>
      </c>
      <c r="B10" s="435"/>
      <c r="C10" s="436">
        <f>'Customer Info'!B8</f>
        <v>0</v>
      </c>
    </row>
    <row r="11" spans="1:30" x14ac:dyDescent="0.2">
      <c r="A11" s="434" t="s">
        <v>3</v>
      </c>
      <c r="B11" s="439">
        <f>'Customer Info'!B9</f>
        <v>9</v>
      </c>
      <c r="C11" s="440" t="str">
        <f>LOOKUP(B11,R11:AD11,R12:AD12)</f>
        <v>September</v>
      </c>
      <c r="D11" s="441">
        <f>'Customer Info'!C9</f>
        <v>2024</v>
      </c>
      <c r="S11" s="430">
        <v>1</v>
      </c>
      <c r="T11" s="430">
        <v>2</v>
      </c>
      <c r="U11" s="430">
        <v>3</v>
      </c>
      <c r="V11" s="430">
        <v>4</v>
      </c>
      <c r="W11" s="430">
        <v>5</v>
      </c>
      <c r="X11" s="430">
        <v>6</v>
      </c>
      <c r="Y11" s="430">
        <v>7</v>
      </c>
      <c r="Z11" s="430">
        <v>8</v>
      </c>
      <c r="AA11" s="430">
        <v>9</v>
      </c>
      <c r="AB11" s="430">
        <v>10</v>
      </c>
      <c r="AC11" s="430">
        <v>11</v>
      </c>
      <c r="AD11" s="430">
        <v>12</v>
      </c>
    </row>
    <row r="12" spans="1:30" x14ac:dyDescent="0.2">
      <c r="A12" s="577"/>
      <c r="B12" s="577"/>
      <c r="C12" s="577"/>
      <c r="D12" s="577"/>
      <c r="E12" s="577"/>
      <c r="F12" s="577"/>
      <c r="G12" s="577"/>
      <c r="H12" s="577"/>
      <c r="I12" s="577"/>
      <c r="J12" s="442"/>
      <c r="K12" s="442"/>
      <c r="L12" s="443"/>
      <c r="M12" s="443"/>
      <c r="N12" s="443"/>
      <c r="O12" s="443"/>
      <c r="P12" s="443"/>
      <c r="R12" s="430" t="s">
        <v>114</v>
      </c>
      <c r="S12" s="519" t="s">
        <v>101</v>
      </c>
      <c r="T12" s="519" t="s">
        <v>102</v>
      </c>
      <c r="U12" s="519" t="s">
        <v>103</v>
      </c>
      <c r="V12" s="519" t="s">
        <v>104</v>
      </c>
      <c r="W12" s="519" t="s">
        <v>105</v>
      </c>
      <c r="X12" s="519" t="s">
        <v>106</v>
      </c>
      <c r="Y12" s="519" t="s">
        <v>107</v>
      </c>
      <c r="Z12" s="519" t="s">
        <v>108</v>
      </c>
      <c r="AA12" s="519" t="s">
        <v>109</v>
      </c>
      <c r="AB12" s="519" t="s">
        <v>111</v>
      </c>
      <c r="AC12" s="519" t="s">
        <v>110</v>
      </c>
      <c r="AD12" s="519" t="s">
        <v>112</v>
      </c>
    </row>
    <row r="13" spans="1:30" x14ac:dyDescent="0.2">
      <c r="A13" s="444" t="s">
        <v>27</v>
      </c>
      <c r="B13" s="445"/>
      <c r="C13" s="445"/>
      <c r="D13" s="445"/>
      <c r="E13" s="445"/>
      <c r="F13" s="445"/>
      <c r="G13" s="445"/>
      <c r="H13" s="445"/>
      <c r="I13" s="445"/>
      <c r="R13" s="459" t="s">
        <v>195</v>
      </c>
      <c r="S13" s="430">
        <f>'Rider Rates'!$C$22</f>
        <v>7.0209999999999995E-2</v>
      </c>
      <c r="T13" s="430">
        <f>'Rider Rates'!$C$22</f>
        <v>7.0209999999999995E-2</v>
      </c>
      <c r="U13" s="430">
        <f>'Rider Rates'!$C$22</f>
        <v>7.0209999999999995E-2</v>
      </c>
      <c r="V13" s="430">
        <f>'Rider Rates'!$C$22</f>
        <v>7.0209999999999995E-2</v>
      </c>
      <c r="W13" s="430">
        <f>'Rider Rates'!$C$22</f>
        <v>7.0209999999999995E-2</v>
      </c>
      <c r="X13" s="430">
        <f>'Rider Rates'!$B$22</f>
        <v>7.0209999999999995E-2</v>
      </c>
      <c r="Y13" s="430">
        <f>'Rider Rates'!$B$22</f>
        <v>7.0209999999999995E-2</v>
      </c>
      <c r="Z13" s="430">
        <f>'Rider Rates'!$B$22</f>
        <v>7.0209999999999995E-2</v>
      </c>
      <c r="AA13" s="430">
        <f>'Rider Rates'!$B$22</f>
        <v>7.0209999999999995E-2</v>
      </c>
      <c r="AB13" s="430">
        <f>'Rider Rates'!$C$22</f>
        <v>7.0209999999999995E-2</v>
      </c>
      <c r="AC13" s="430">
        <f>'Rider Rates'!$C$22</f>
        <v>7.0209999999999995E-2</v>
      </c>
      <c r="AD13" s="430">
        <f>'Rider Rates'!$C$22</f>
        <v>7.0209999999999995E-2</v>
      </c>
    </row>
    <row r="14" spans="1:30" x14ac:dyDescent="0.2">
      <c r="A14" s="433"/>
      <c r="B14" s="433"/>
      <c r="C14" s="433"/>
      <c r="D14" s="433"/>
      <c r="E14" s="433"/>
      <c r="F14" s="433"/>
      <c r="G14" s="433"/>
      <c r="H14" s="433"/>
      <c r="I14" s="433"/>
      <c r="R14" s="433"/>
      <c r="S14" s="520"/>
      <c r="T14" s="520"/>
      <c r="U14" s="520"/>
      <c r="V14" s="520"/>
      <c r="W14" s="520"/>
      <c r="X14" s="520"/>
      <c r="Y14" s="520"/>
      <c r="Z14" s="520"/>
      <c r="AA14" s="520"/>
      <c r="AB14" s="520"/>
      <c r="AC14" s="520"/>
      <c r="AD14" s="520"/>
    </row>
    <row r="15" spans="1:30" x14ac:dyDescent="0.2">
      <c r="A15" s="446" t="s">
        <v>51</v>
      </c>
      <c r="B15" s="446"/>
      <c r="C15" s="447">
        <f>IF('Customer Info'!B22+'Customer Info'!B23-'Customer Info'!B24&lt;0,0,'Customer Info'!B22+'Customer Info'!B23-'Customer Info'!B24)</f>
        <v>0</v>
      </c>
      <c r="D15" s="446" t="s">
        <v>41</v>
      </c>
      <c r="E15" s="446"/>
      <c r="F15" s="448"/>
      <c r="G15" s="446"/>
      <c r="H15" s="446"/>
      <c r="I15" s="446"/>
      <c r="R15" s="433"/>
      <c r="S15" s="520"/>
      <c r="T15" s="520"/>
      <c r="U15" s="520"/>
      <c r="V15" s="520"/>
      <c r="W15" s="520"/>
      <c r="X15" s="520"/>
      <c r="Y15" s="520"/>
      <c r="Z15" s="520"/>
      <c r="AA15" s="520"/>
      <c r="AB15" s="520"/>
      <c r="AC15" s="520"/>
      <c r="AD15" s="520"/>
    </row>
    <row r="16" spans="1:30" x14ac:dyDescent="0.2">
      <c r="A16" s="446" t="s">
        <v>233</v>
      </c>
      <c r="B16" s="446"/>
      <c r="C16" s="447">
        <f>'Customer Info'!B22</f>
        <v>0</v>
      </c>
      <c r="D16" s="446" t="s">
        <v>41</v>
      </c>
      <c r="E16" s="446"/>
      <c r="F16" s="448"/>
      <c r="G16" s="434" t="s">
        <v>15</v>
      </c>
      <c r="H16" s="446"/>
    </row>
    <row r="17" spans="1:221" x14ac:dyDescent="0.2">
      <c r="A17" s="446" t="s">
        <v>234</v>
      </c>
      <c r="B17" s="446"/>
      <c r="C17" s="447">
        <f>'Customer Info'!B23</f>
        <v>0</v>
      </c>
      <c r="D17" s="449" t="s">
        <v>41</v>
      </c>
      <c r="E17" s="448"/>
      <c r="F17" s="448"/>
      <c r="G17" s="434" t="s">
        <v>15</v>
      </c>
      <c r="H17" s="446"/>
      <c r="I17" s="450" t="s">
        <v>15</v>
      </c>
    </row>
    <row r="19" spans="1:221" x14ac:dyDescent="0.2">
      <c r="A19" s="444" t="s">
        <v>31</v>
      </c>
      <c r="B19" s="445"/>
      <c r="C19" s="445"/>
      <c r="D19" s="445"/>
      <c r="E19" s="445"/>
      <c r="F19" s="445"/>
      <c r="G19" s="569" t="s">
        <v>67</v>
      </c>
      <c r="H19" s="570"/>
      <c r="I19" s="570"/>
      <c r="J19" s="571"/>
      <c r="K19" s="445"/>
      <c r="L19" s="572" t="s">
        <v>68</v>
      </c>
      <c r="M19" s="572"/>
      <c r="N19" s="572"/>
      <c r="O19" s="572"/>
    </row>
    <row r="20" spans="1:221" x14ac:dyDescent="0.2">
      <c r="A20" s="433"/>
      <c r="B20" s="433"/>
      <c r="C20" s="433"/>
      <c r="D20" s="433"/>
      <c r="E20" s="433"/>
      <c r="F20" s="433"/>
      <c r="G20" s="451" t="s">
        <v>64</v>
      </c>
      <c r="H20" s="451" t="s">
        <v>65</v>
      </c>
      <c r="I20" s="451" t="s">
        <v>66</v>
      </c>
      <c r="J20" s="452" t="s">
        <v>34</v>
      </c>
      <c r="K20" s="433"/>
      <c r="L20" s="453" t="s">
        <v>64</v>
      </c>
      <c r="M20" s="453" t="s">
        <v>65</v>
      </c>
      <c r="N20" s="453" t="s">
        <v>66</v>
      </c>
      <c r="O20" s="453" t="s">
        <v>34</v>
      </c>
      <c r="P20" s="454" t="s">
        <v>56</v>
      </c>
    </row>
    <row r="21" spans="1:221" x14ac:dyDescent="0.2">
      <c r="A21" s="430" t="s">
        <v>32</v>
      </c>
      <c r="G21" s="455"/>
      <c r="H21" s="455"/>
      <c r="I21" s="455">
        <f>'Rider Rates'!B148</f>
        <v>9.4</v>
      </c>
      <c r="J21" s="455">
        <f>SUM(G21:I21)</f>
        <v>9.4</v>
      </c>
      <c r="L21" s="456"/>
      <c r="M21" s="456"/>
      <c r="N21" s="456">
        <f>I21</f>
        <v>9.4</v>
      </c>
      <c r="O21" s="457">
        <f>SUM(L21:N21)</f>
        <v>9.4</v>
      </c>
      <c r="P21" s="458">
        <v>44531</v>
      </c>
    </row>
    <row r="22" spans="1:221" x14ac:dyDescent="0.2">
      <c r="A22" s="459" t="s">
        <v>302</v>
      </c>
      <c r="D22" s="460">
        <f>C15</f>
        <v>0</v>
      </c>
      <c r="E22" s="461" t="s">
        <v>41</v>
      </c>
      <c r="F22" s="462" t="s">
        <v>8</v>
      </c>
      <c r="G22" s="463"/>
      <c r="H22" s="463"/>
      <c r="I22" s="463">
        <f>'Rider Rates'!C148</f>
        <v>2.0634799999999998E-2</v>
      </c>
      <c r="J22" s="463">
        <f>SUM(G22:I22)</f>
        <v>2.0634799999999998E-2</v>
      </c>
      <c r="K22" s="464" t="s">
        <v>42</v>
      </c>
      <c r="L22" s="457"/>
      <c r="M22" s="457"/>
      <c r="N22" s="457">
        <f>IF(C15&lt;0,0,ROUND($D22*I22,2))</f>
        <v>0</v>
      </c>
      <c r="O22" s="457">
        <f>SUM(L22:N22)</f>
        <v>0</v>
      </c>
      <c r="P22" s="458">
        <f>'Rider Rates'!H148</f>
        <v>45444</v>
      </c>
    </row>
    <row r="23" spans="1:221" x14ac:dyDescent="0.2">
      <c r="A23" s="465" t="s">
        <v>50</v>
      </c>
      <c r="B23" s="465"/>
      <c r="C23" s="465"/>
      <c r="D23" s="466"/>
      <c r="E23" s="466"/>
      <c r="F23" s="465"/>
      <c r="G23" s="465"/>
      <c r="H23" s="465"/>
      <c r="I23" s="465"/>
      <c r="J23" s="465"/>
      <c r="K23" s="467"/>
      <c r="L23" s="468"/>
      <c r="M23" s="468"/>
      <c r="N23" s="468">
        <f>SUM(N21:N22)</f>
        <v>9.4</v>
      </c>
      <c r="O23" s="468">
        <f>SUM(O21:O22)</f>
        <v>9.4</v>
      </c>
    </row>
    <row r="24" spans="1:221" x14ac:dyDescent="0.2">
      <c r="A24" s="469"/>
      <c r="B24" s="469"/>
      <c r="C24" s="470"/>
      <c r="D24" s="470"/>
      <c r="E24" s="470"/>
      <c r="F24" s="470"/>
      <c r="G24" s="471"/>
      <c r="H24" s="471"/>
      <c r="I24" s="471"/>
      <c r="J24" s="471"/>
      <c r="K24" s="469"/>
      <c r="L24" s="469"/>
      <c r="M24" s="469"/>
      <c r="N24" s="469"/>
      <c r="O24" s="469"/>
      <c r="P24" s="469"/>
    </row>
    <row r="25" spans="1:221" x14ac:dyDescent="0.2">
      <c r="A25" s="472" t="s">
        <v>69</v>
      </c>
      <c r="B25" s="473"/>
      <c r="C25" s="473"/>
      <c r="D25" s="474"/>
      <c r="E25" s="474"/>
      <c r="F25" s="473"/>
      <c r="G25" s="474"/>
      <c r="H25" s="474"/>
      <c r="I25" s="474"/>
      <c r="J25" s="474"/>
      <c r="K25" s="474"/>
      <c r="L25" s="474"/>
      <c r="M25" s="474"/>
      <c r="N25" s="474"/>
      <c r="O25" s="474"/>
      <c r="P25" s="475"/>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row>
    <row r="26" spans="1:221" x14ac:dyDescent="0.2">
      <c r="P26" s="476"/>
      <c r="Q26" s="490"/>
      <c r="R26" s="521"/>
      <c r="S26" s="522"/>
      <c r="T26" s="510"/>
      <c r="U26" s="433"/>
      <c r="V26" s="52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row>
    <row r="27" spans="1:221" x14ac:dyDescent="0.2">
      <c r="A27" s="477" t="s">
        <v>78</v>
      </c>
      <c r="B27" s="478"/>
      <c r="C27" s="478"/>
      <c r="D27" s="427">
        <f>IF($C$15&lt;0,0,IF($C$15&gt;833000,833000,$C$15))</f>
        <v>0</v>
      </c>
      <c r="E27" s="461" t="s">
        <v>41</v>
      </c>
      <c r="F27" s="462" t="s">
        <v>8</v>
      </c>
      <c r="G27" s="479"/>
      <c r="H27" s="479"/>
      <c r="I27" s="479">
        <f>'Rider Rates'!$B$4</f>
        <v>5.9216E-3</v>
      </c>
      <c r="J27" s="479">
        <f t="shared" ref="J27:J48" si="0">SUM(G27:I27)</f>
        <v>5.9216E-3</v>
      </c>
      <c r="K27" s="464" t="s">
        <v>42</v>
      </c>
      <c r="L27" s="250"/>
      <c r="M27" s="250"/>
      <c r="N27" s="250">
        <f t="shared" ref="N27:N32" si="1">ROUND(D27*I27,2)</f>
        <v>0</v>
      </c>
      <c r="O27" s="250">
        <f t="shared" ref="O27:O49" si="2">SUM(L27:N27)</f>
        <v>0</v>
      </c>
      <c r="P27" s="458">
        <f>'Rider Rates'!$D$4</f>
        <v>45293</v>
      </c>
      <c r="Q27" s="490"/>
      <c r="R27" s="505"/>
      <c r="S27" s="522"/>
      <c r="T27" s="510"/>
      <c r="U27" s="433"/>
      <c r="V27" s="52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row>
    <row r="28" spans="1:221" x14ac:dyDescent="0.2">
      <c r="A28" s="477" t="s">
        <v>79</v>
      </c>
      <c r="B28" s="433"/>
      <c r="C28" s="433"/>
      <c r="D28" s="427">
        <f>IF($C$15&gt;833000,$C$15-833000,0)</f>
        <v>0</v>
      </c>
      <c r="E28" s="461" t="s">
        <v>41</v>
      </c>
      <c r="F28" s="462" t="s">
        <v>8</v>
      </c>
      <c r="G28" s="479"/>
      <c r="H28" s="479"/>
      <c r="I28" s="479">
        <f>'Rider Rates'!$B$5</f>
        <v>1.7560000000000001E-4</v>
      </c>
      <c r="J28" s="479">
        <f t="shared" si="0"/>
        <v>1.7560000000000001E-4</v>
      </c>
      <c r="K28" s="464" t="s">
        <v>42</v>
      </c>
      <c r="L28" s="250"/>
      <c r="M28" s="250"/>
      <c r="N28" s="250">
        <f t="shared" si="1"/>
        <v>0</v>
      </c>
      <c r="O28" s="250">
        <f t="shared" si="2"/>
        <v>0</v>
      </c>
      <c r="P28" s="458">
        <f>'Rider Rates'!$D$4</f>
        <v>45293</v>
      </c>
      <c r="Q28" s="490"/>
      <c r="R28" s="505"/>
      <c r="S28" s="522"/>
      <c r="T28" s="510"/>
      <c r="U28" s="433"/>
      <c r="V28" s="52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row>
    <row r="29" spans="1:221" x14ac:dyDescent="0.2">
      <c r="A29" s="477" t="s">
        <v>96</v>
      </c>
      <c r="B29" s="433"/>
      <c r="C29" s="433"/>
      <c r="D29" s="427">
        <f>IF('Customer Info'!$C$33=TRUE,0,IF($C$15&lt;0,0,IF($C$15&gt;2000,2000,$C$15)))</f>
        <v>0</v>
      </c>
      <c r="E29" s="461" t="s">
        <v>41</v>
      </c>
      <c r="F29" s="462" t="s">
        <v>8</v>
      </c>
      <c r="G29" s="479"/>
      <c r="H29" s="479"/>
      <c r="I29" s="480">
        <f>'Rider Rates'!$B$8</f>
        <v>4.6499999999999996E-3</v>
      </c>
      <c r="J29" s="480">
        <f t="shared" si="0"/>
        <v>4.6499999999999996E-3</v>
      </c>
      <c r="K29" s="464" t="s">
        <v>42</v>
      </c>
      <c r="L29" s="250"/>
      <c r="M29" s="250"/>
      <c r="N29" s="250">
        <f t="shared" si="1"/>
        <v>0</v>
      </c>
      <c r="O29" s="250">
        <f t="shared" si="2"/>
        <v>0</v>
      </c>
      <c r="P29" s="458">
        <f>'Rider Rates'!$D$7</f>
        <v>44531</v>
      </c>
      <c r="Q29" s="490"/>
      <c r="R29" s="505"/>
      <c r="S29" s="522"/>
      <c r="T29" s="510"/>
      <c r="U29" s="433"/>
      <c r="V29" s="52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row>
    <row r="30" spans="1:221" x14ac:dyDescent="0.2">
      <c r="A30" s="477" t="s">
        <v>97</v>
      </c>
      <c r="B30" s="433"/>
      <c r="C30" s="433"/>
      <c r="D30" s="427">
        <f>IF('Customer Info'!$C$33=TRUE,0,IF($C$15&lt;=2000,0,IF($C$15=0,0,IF($C$15-2000&gt;13000,13000,$C$15-2000))))</f>
        <v>0</v>
      </c>
      <c r="E30" s="461" t="s">
        <v>41</v>
      </c>
      <c r="F30" s="462" t="s">
        <v>8</v>
      </c>
      <c r="G30" s="479"/>
      <c r="H30" s="479"/>
      <c r="I30" s="480">
        <f>'Rider Rates'!$B$9</f>
        <v>4.1900000000000001E-3</v>
      </c>
      <c r="J30" s="480">
        <f t="shared" si="0"/>
        <v>4.1900000000000001E-3</v>
      </c>
      <c r="K30" s="464" t="s">
        <v>42</v>
      </c>
      <c r="L30" s="250"/>
      <c r="M30" s="250"/>
      <c r="N30" s="250">
        <f t="shared" si="1"/>
        <v>0</v>
      </c>
      <c r="O30" s="250">
        <f t="shared" si="2"/>
        <v>0</v>
      </c>
      <c r="P30" s="458">
        <f>'Rider Rates'!$D$7</f>
        <v>44531</v>
      </c>
      <c r="Q30" s="490"/>
      <c r="R30" s="505"/>
      <c r="S30" s="522"/>
      <c r="T30" s="510"/>
      <c r="U30" s="433"/>
      <c r="V30" s="52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row>
    <row r="31" spans="1:221" x14ac:dyDescent="0.2">
      <c r="A31" s="477" t="s">
        <v>98</v>
      </c>
      <c r="B31" s="433"/>
      <c r="C31" s="433"/>
      <c r="D31" s="427">
        <f>IF('Customer Info'!$C$33=TRUE,0,IF($C$15=0,0,IF($C$15-15000&gt;=0,$C$15-15000,0)))</f>
        <v>0</v>
      </c>
      <c r="E31" s="461" t="s">
        <v>41</v>
      </c>
      <c r="F31" s="462" t="s">
        <v>8</v>
      </c>
      <c r="G31" s="479"/>
      <c r="H31" s="479"/>
      <c r="I31" s="480">
        <f>'Rider Rates'!$B$10</f>
        <v>3.63E-3</v>
      </c>
      <c r="J31" s="480">
        <f t="shared" si="0"/>
        <v>3.63E-3</v>
      </c>
      <c r="K31" s="464" t="s">
        <v>42</v>
      </c>
      <c r="L31" s="250"/>
      <c r="M31" s="250"/>
      <c r="N31" s="250">
        <f t="shared" si="1"/>
        <v>0</v>
      </c>
      <c r="O31" s="250">
        <f t="shared" si="2"/>
        <v>0</v>
      </c>
      <c r="P31" s="458">
        <f>'Rider Rates'!$D$7</f>
        <v>44531</v>
      </c>
      <c r="Q31" s="490"/>
      <c r="R31" s="505"/>
      <c r="S31" s="522"/>
      <c r="T31" s="510"/>
      <c r="U31" s="433"/>
      <c r="V31" s="52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row>
    <row r="32" spans="1:221" x14ac:dyDescent="0.2">
      <c r="A32" s="432" t="s">
        <v>159</v>
      </c>
      <c r="B32" s="433"/>
      <c r="C32" s="433"/>
      <c r="D32" s="427">
        <f>IF($C$15&lt;0,0,$C$15)</f>
        <v>0</v>
      </c>
      <c r="E32" s="461" t="s">
        <v>41</v>
      </c>
      <c r="F32" s="462" t="s">
        <v>8</v>
      </c>
      <c r="G32" s="479"/>
      <c r="H32" s="479"/>
      <c r="I32" s="479">
        <f>'Rider Rates'!$B$16</f>
        <v>0</v>
      </c>
      <c r="J32" s="479">
        <f>SUM(G32:I32)</f>
        <v>0</v>
      </c>
      <c r="K32" s="464" t="s">
        <v>42</v>
      </c>
      <c r="L32" s="250"/>
      <c r="M32" s="250"/>
      <c r="N32" s="250">
        <f t="shared" si="1"/>
        <v>0</v>
      </c>
      <c r="O32" s="250">
        <f t="shared" si="2"/>
        <v>0</v>
      </c>
      <c r="P32" s="458">
        <f>'Rider Rates'!$D$16</f>
        <v>45197</v>
      </c>
      <c r="Q32" s="490"/>
      <c r="R32" s="505"/>
      <c r="S32" s="522"/>
      <c r="T32" s="510"/>
      <c r="U32" s="433"/>
      <c r="V32" s="52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row>
    <row r="33" spans="1:221" x14ac:dyDescent="0.2">
      <c r="A33" s="432" t="s">
        <v>245</v>
      </c>
      <c r="B33" s="433"/>
      <c r="C33" s="433"/>
      <c r="D33" s="428">
        <f>$N$23</f>
        <v>9.4</v>
      </c>
      <c r="E33" s="461" t="s">
        <v>121</v>
      </c>
      <c r="F33" s="462" t="s">
        <v>8</v>
      </c>
      <c r="G33" s="479"/>
      <c r="H33" s="479"/>
      <c r="I33" s="481">
        <f>'Rider Rates'!$B$18+'Rider Rates'!$E$18</f>
        <v>0</v>
      </c>
      <c r="J33" s="481">
        <f>SUM(G33:I33)</f>
        <v>0</v>
      </c>
      <c r="K33" s="464"/>
      <c r="L33" s="250"/>
      <c r="M33" s="250"/>
      <c r="N33" s="250">
        <f>ROUND($D$33*'Rider Rates'!$B$18,2)+ROUND($D$33*'Rider Rates'!$E$18,2)</f>
        <v>0</v>
      </c>
      <c r="O33" s="250">
        <f t="shared" si="2"/>
        <v>0</v>
      </c>
      <c r="P33" s="458">
        <f>MAX('Rider Rates'!$D$18,'Rider Rates'!$F$18)</f>
        <v>44531</v>
      </c>
      <c r="Q33" s="490"/>
      <c r="R33" s="505"/>
      <c r="S33" s="522"/>
      <c r="T33" s="510"/>
      <c r="U33" s="433"/>
      <c r="V33" s="52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row>
    <row r="34" spans="1:221" x14ac:dyDescent="0.2">
      <c r="A34" s="432" t="s">
        <v>194</v>
      </c>
      <c r="B34" s="433"/>
      <c r="C34" s="433"/>
      <c r="D34" s="460">
        <f>'Customer Info'!$B$22+'Customer Info'!$B$23-'Customer Info'!$B$24</f>
        <v>0</v>
      </c>
      <c r="E34" s="461" t="s">
        <v>41</v>
      </c>
      <c r="F34" s="462" t="s">
        <v>8</v>
      </c>
      <c r="G34" s="479">
        <f>'Rider Rates'!B22</f>
        <v>7.0209999999999995E-2</v>
      </c>
      <c r="H34" s="479"/>
      <c r="I34" s="479"/>
      <c r="J34" s="482">
        <f>SUM(G34:H34)</f>
        <v>7.0209999999999995E-2</v>
      </c>
      <c r="K34" s="464" t="s">
        <v>42</v>
      </c>
      <c r="L34" s="250">
        <f>ROUND(D34*G34,2)</f>
        <v>0</v>
      </c>
      <c r="M34" s="250"/>
      <c r="N34" s="250"/>
      <c r="O34" s="250">
        <f t="shared" si="2"/>
        <v>0</v>
      </c>
      <c r="P34" s="458">
        <f>'Rider Rates'!$D$22</f>
        <v>45444</v>
      </c>
      <c r="Q34" s="490"/>
      <c r="R34" s="505"/>
      <c r="S34" s="522"/>
      <c r="T34" s="510"/>
      <c r="U34" s="433"/>
      <c r="V34" s="52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row>
    <row r="35" spans="1:221" x14ac:dyDescent="0.2">
      <c r="A35" s="432" t="s">
        <v>164</v>
      </c>
      <c r="B35" s="433"/>
      <c r="C35" s="433"/>
      <c r="D35" s="427">
        <f>$C$16</f>
        <v>0</v>
      </c>
      <c r="E35" s="461" t="s">
        <v>41</v>
      </c>
      <c r="F35" s="462" t="s">
        <v>8</v>
      </c>
      <c r="G35" s="479">
        <f>'Rider Rates'!$B$44</f>
        <v>3.0709000000000001E-3</v>
      </c>
      <c r="H35" s="479"/>
      <c r="I35" s="479"/>
      <c r="J35" s="482">
        <f>SUM(G35:H35)</f>
        <v>3.0709000000000001E-3</v>
      </c>
      <c r="K35" s="464" t="s">
        <v>42</v>
      </c>
      <c r="L35" s="250">
        <f>ROUND(D35*G35,2)</f>
        <v>0</v>
      </c>
      <c r="M35" s="250"/>
      <c r="N35" s="250"/>
      <c r="O35" s="250">
        <f t="shared" si="2"/>
        <v>0</v>
      </c>
      <c r="P35" s="458">
        <f>'Rider Rates'!$D$38</f>
        <v>45444</v>
      </c>
      <c r="Q35" s="490"/>
      <c r="R35" s="505"/>
      <c r="S35" s="522"/>
      <c r="T35" s="510"/>
      <c r="U35" s="433"/>
      <c r="V35" s="52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row>
    <row r="36" spans="1:221" x14ac:dyDescent="0.2">
      <c r="A36" s="432" t="s">
        <v>227</v>
      </c>
      <c r="B36" s="433"/>
      <c r="C36" s="433"/>
      <c r="D36" s="427">
        <f>$C$17</f>
        <v>0</v>
      </c>
      <c r="E36" s="461" t="s">
        <v>41</v>
      </c>
      <c r="F36" s="454" t="s">
        <v>8</v>
      </c>
      <c r="G36" s="479">
        <f>'Rider Rates'!$C$44</f>
        <v>1.325E-3</v>
      </c>
      <c r="H36" s="479"/>
      <c r="I36" s="479"/>
      <c r="J36" s="482">
        <f>SUM(G36:H36)</f>
        <v>1.325E-3</v>
      </c>
      <c r="K36" s="464" t="s">
        <v>42</v>
      </c>
      <c r="L36" s="250">
        <f>ROUND(D36*G36,2)</f>
        <v>0</v>
      </c>
      <c r="M36" s="250"/>
      <c r="N36" s="250"/>
      <c r="O36" s="250">
        <f t="shared" si="2"/>
        <v>0</v>
      </c>
      <c r="P36" s="458">
        <f>'Rider Rates'!D39</f>
        <v>45444</v>
      </c>
      <c r="Q36" s="490"/>
      <c r="R36" s="505"/>
      <c r="S36" s="522"/>
      <c r="T36" s="510"/>
      <c r="U36" s="433"/>
      <c r="V36" s="52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row>
    <row r="37" spans="1:221" x14ac:dyDescent="0.2">
      <c r="A37" s="432" t="s">
        <v>201</v>
      </c>
      <c r="B37" s="433"/>
      <c r="C37" s="433"/>
      <c r="D37" s="427">
        <f>C16+C17</f>
        <v>0</v>
      </c>
      <c r="E37" s="461" t="s">
        <v>41</v>
      </c>
      <c r="F37" s="462" t="s">
        <v>8</v>
      </c>
      <c r="G37" s="479">
        <f>'Rider Rates'!$B$49</f>
        <v>-3.1569999999999998E-4</v>
      </c>
      <c r="H37" s="479"/>
      <c r="I37" s="479"/>
      <c r="J37" s="482">
        <f>SUM(G37:H37)</f>
        <v>-3.1569999999999998E-4</v>
      </c>
      <c r="K37" s="464" t="s">
        <v>42</v>
      </c>
      <c r="L37" s="250">
        <f>ROUND(D37*G37,2)</f>
        <v>0</v>
      </c>
      <c r="M37" s="250"/>
      <c r="N37" s="250"/>
      <c r="O37" s="250">
        <f t="shared" si="2"/>
        <v>0</v>
      </c>
      <c r="P37" s="458">
        <f>'Rider Rates'!$D$49</f>
        <v>45471</v>
      </c>
      <c r="Q37" s="490"/>
      <c r="R37" s="505"/>
      <c r="S37" s="522"/>
      <c r="T37" s="510"/>
      <c r="U37" s="433"/>
      <c r="V37" s="52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row>
    <row r="38" spans="1:221" x14ac:dyDescent="0.2">
      <c r="A38" s="483" t="s">
        <v>218</v>
      </c>
      <c r="B38" s="433"/>
      <c r="C38" s="433"/>
      <c r="D38" s="427">
        <f>IF($C$15&lt;0,0,IF($C$15&gt;833000,833000,$C$15))</f>
        <v>0</v>
      </c>
      <c r="E38" s="461" t="s">
        <v>41</v>
      </c>
      <c r="F38" s="462" t="s">
        <v>8</v>
      </c>
      <c r="G38" s="479"/>
      <c r="H38" s="479"/>
      <c r="I38" s="479">
        <f>'Rider Rates'!D53</f>
        <v>1.8006999999999999E-3</v>
      </c>
      <c r="J38" s="479">
        <f>SUM(G38:I38)</f>
        <v>1.8006999999999999E-3</v>
      </c>
      <c r="K38" s="464" t="s">
        <v>42</v>
      </c>
      <c r="L38" s="250"/>
      <c r="M38" s="250"/>
      <c r="N38" s="250">
        <f>D38*J38</f>
        <v>0</v>
      </c>
      <c r="O38" s="250">
        <f t="shared" si="2"/>
        <v>0</v>
      </c>
      <c r="P38" s="458">
        <f>'Rider Rates'!E53</f>
        <v>45474</v>
      </c>
      <c r="Q38" s="490"/>
      <c r="R38" s="505"/>
      <c r="S38" s="522"/>
      <c r="T38" s="510"/>
      <c r="U38" s="433"/>
      <c r="V38" s="52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c r="GD38" s="433"/>
      <c r="GE38" s="433"/>
      <c r="GF38" s="433"/>
      <c r="GG38" s="433"/>
      <c r="GH38" s="433"/>
      <c r="GI38" s="433"/>
      <c r="GJ38" s="433"/>
      <c r="GK38" s="433"/>
      <c r="GL38" s="433"/>
      <c r="GM38" s="433"/>
      <c r="GN38" s="433"/>
      <c r="GO38" s="433"/>
      <c r="GP38" s="433"/>
      <c r="GQ38" s="433"/>
      <c r="GR38" s="433"/>
      <c r="GS38" s="433"/>
      <c r="GT38" s="433"/>
      <c r="GU38" s="433"/>
      <c r="GV38" s="433"/>
      <c r="GW38" s="433"/>
      <c r="GX38" s="433"/>
      <c r="GY38" s="433"/>
      <c r="GZ38" s="433"/>
      <c r="HA38" s="433"/>
      <c r="HB38" s="433"/>
      <c r="HC38" s="433"/>
      <c r="HD38" s="433"/>
      <c r="HE38" s="433"/>
      <c r="HF38" s="433"/>
      <c r="HG38" s="433"/>
      <c r="HH38" s="433"/>
      <c r="HI38" s="433"/>
      <c r="HJ38" s="433"/>
      <c r="HK38" s="433"/>
      <c r="HL38" s="433"/>
      <c r="HM38" s="433"/>
    </row>
    <row r="39" spans="1:221" x14ac:dyDescent="0.2">
      <c r="A39" s="432" t="s">
        <v>197</v>
      </c>
      <c r="B39" s="433"/>
      <c r="C39" s="433"/>
      <c r="D39" s="427">
        <f>IF($C$15&lt;0,0,$C$15)</f>
        <v>0</v>
      </c>
      <c r="E39" s="484" t="s">
        <v>41</v>
      </c>
      <c r="F39" s="462" t="s">
        <v>8</v>
      </c>
      <c r="G39" s="479"/>
      <c r="H39" s="479">
        <f>'Rider Rates'!$B$60</f>
        <v>2.3467399999999999E-2</v>
      </c>
      <c r="I39" s="479"/>
      <c r="J39" s="479">
        <f>SUM(G39:I39)</f>
        <v>2.3467399999999999E-2</v>
      </c>
      <c r="K39" s="464" t="s">
        <v>42</v>
      </c>
      <c r="L39" s="250"/>
      <c r="M39" s="250">
        <f>ROUND(D39*H39,2)</f>
        <v>0</v>
      </c>
      <c r="N39" s="485"/>
      <c r="O39" s="250">
        <f t="shared" si="2"/>
        <v>0</v>
      </c>
      <c r="P39" s="458">
        <f>'Rider Rates'!$D$60</f>
        <v>45383</v>
      </c>
      <c r="Q39" s="490"/>
      <c r="R39" s="505"/>
      <c r="S39" s="522"/>
      <c r="T39" s="510"/>
      <c r="U39" s="433"/>
      <c r="V39" s="52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c r="GD39" s="433"/>
      <c r="GE39" s="433"/>
      <c r="GF39" s="433"/>
      <c r="GG39" s="433"/>
      <c r="GH39" s="433"/>
      <c r="GI39" s="433"/>
      <c r="GJ39" s="433"/>
      <c r="GK39" s="433"/>
      <c r="GL39" s="433"/>
      <c r="GM39" s="433"/>
      <c r="GN39" s="433"/>
      <c r="GO39" s="433"/>
      <c r="GP39" s="433"/>
      <c r="GQ39" s="433"/>
      <c r="GR39" s="433"/>
      <c r="GS39" s="433"/>
      <c r="GT39" s="433"/>
      <c r="GU39" s="433"/>
      <c r="GV39" s="433"/>
      <c r="GW39" s="433"/>
      <c r="GX39" s="433"/>
      <c r="GY39" s="433"/>
      <c r="GZ39" s="433"/>
      <c r="HA39" s="433"/>
      <c r="HB39" s="433"/>
      <c r="HC39" s="433"/>
      <c r="HD39" s="433"/>
      <c r="HE39" s="433"/>
      <c r="HF39" s="433"/>
      <c r="HG39" s="433"/>
      <c r="HH39" s="433"/>
      <c r="HI39" s="433"/>
      <c r="HJ39" s="433"/>
      <c r="HK39" s="433"/>
      <c r="HL39" s="433"/>
      <c r="HM39" s="433"/>
    </row>
    <row r="40" spans="1:221" x14ac:dyDescent="0.2">
      <c r="A40" s="477" t="s">
        <v>95</v>
      </c>
      <c r="B40" s="433"/>
      <c r="C40" s="433"/>
      <c r="D40" s="427">
        <f>IF('Customer Info'!C35=TRUE,0,IF($C$15&lt;0,0,$C$15))</f>
        <v>0</v>
      </c>
      <c r="E40" s="461" t="s">
        <v>41</v>
      </c>
      <c r="F40" s="462" t="s">
        <v>8</v>
      </c>
      <c r="G40" s="479"/>
      <c r="H40" s="479"/>
      <c r="I40" s="479">
        <f>'Rider Rates'!$B$74+'Rider Rates'!$C$74</f>
        <v>0</v>
      </c>
      <c r="J40" s="479">
        <f t="shared" si="0"/>
        <v>0</v>
      </c>
      <c r="K40" s="464" t="s">
        <v>42</v>
      </c>
      <c r="L40" s="250"/>
      <c r="M40" s="250"/>
      <c r="N40" s="250">
        <f>ROUND($D$40*'Rider Rates'!$B$74,2)+ROUND($D$40*'Rider Rates'!$C$74,2)</f>
        <v>0</v>
      </c>
      <c r="O40" s="250">
        <f t="shared" si="2"/>
        <v>0</v>
      </c>
      <c r="P40" s="458">
        <f>'Rider Rates'!$D$74</f>
        <v>44531</v>
      </c>
      <c r="Q40" s="490"/>
      <c r="R40" s="505"/>
      <c r="S40" s="522"/>
      <c r="T40" s="510"/>
      <c r="U40" s="433"/>
      <c r="V40" s="52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row>
    <row r="41" spans="1:221" x14ac:dyDescent="0.2">
      <c r="A41" s="477" t="s">
        <v>95</v>
      </c>
      <c r="B41" s="433"/>
      <c r="C41" s="433"/>
      <c r="D41" s="427"/>
      <c r="E41" s="461" t="s">
        <v>114</v>
      </c>
      <c r="F41" s="462"/>
      <c r="G41" s="479"/>
      <c r="H41" s="479"/>
      <c r="I41" s="486">
        <f>'Rider Rates'!$B$81</f>
        <v>0</v>
      </c>
      <c r="J41" s="486">
        <f>IF('Customer Info'!C35=TRUE,0,SUM(G41:I41))</f>
        <v>0</v>
      </c>
      <c r="K41" s="464"/>
      <c r="L41" s="250"/>
      <c r="M41" s="250"/>
      <c r="N41" s="250">
        <f>J41</f>
        <v>0</v>
      </c>
      <c r="O41" s="250">
        <f>SUM(L41:N41)</f>
        <v>0</v>
      </c>
      <c r="P41" s="458">
        <v>44531</v>
      </c>
      <c r="Q41" s="490"/>
      <c r="R41" s="505"/>
      <c r="S41" s="522"/>
      <c r="T41" s="510"/>
      <c r="U41" s="433"/>
      <c r="V41" s="52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row>
    <row r="42" spans="1:221" x14ac:dyDescent="0.2">
      <c r="A42" s="477" t="s">
        <v>80</v>
      </c>
      <c r="B42" s="433"/>
      <c r="C42" s="433"/>
      <c r="D42" s="428">
        <f>$N$23</f>
        <v>9.4</v>
      </c>
      <c r="E42" s="461" t="s">
        <v>121</v>
      </c>
      <c r="F42" s="462" t="s">
        <v>8</v>
      </c>
      <c r="G42" s="487"/>
      <c r="H42" s="452"/>
      <c r="I42" s="488">
        <f>'Rider Rates'!$B$89</f>
        <v>2.9347000000000002E-2</v>
      </c>
      <c r="J42" s="488">
        <f t="shared" si="0"/>
        <v>2.9347000000000002E-2</v>
      </c>
      <c r="K42" s="464"/>
      <c r="L42" s="250"/>
      <c r="M42" s="250"/>
      <c r="N42" s="250">
        <f>ROUND(D42*I42,2)</f>
        <v>0.28000000000000003</v>
      </c>
      <c r="O42" s="250">
        <f t="shared" si="2"/>
        <v>0.28000000000000003</v>
      </c>
      <c r="P42" s="458">
        <f>'Rider Rates'!$D$89</f>
        <v>45383</v>
      </c>
      <c r="Q42" s="490"/>
      <c r="R42" s="505"/>
      <c r="S42" s="522"/>
      <c r="T42" s="510"/>
      <c r="U42" s="433"/>
      <c r="V42" s="52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row>
    <row r="43" spans="1:221" x14ac:dyDescent="0.2">
      <c r="A43" s="477" t="s">
        <v>81</v>
      </c>
      <c r="B43" s="433"/>
      <c r="C43" s="433"/>
      <c r="D43" s="428">
        <f>$N$23</f>
        <v>9.4</v>
      </c>
      <c r="E43" s="461" t="s">
        <v>121</v>
      </c>
      <c r="F43" s="462" t="s">
        <v>8</v>
      </c>
      <c r="G43" s="489"/>
      <c r="H43" s="452"/>
      <c r="I43" s="488">
        <f>'Rider Rates'!$B$91</f>
        <v>6.6985699999999995E-2</v>
      </c>
      <c r="J43" s="488">
        <f t="shared" si="0"/>
        <v>6.6985699999999995E-2</v>
      </c>
      <c r="K43" s="464"/>
      <c r="L43" s="250"/>
      <c r="M43" s="250"/>
      <c r="N43" s="250">
        <f>ROUND(D43*I43,2)</f>
        <v>0.63</v>
      </c>
      <c r="O43" s="250">
        <f t="shared" si="2"/>
        <v>0.63</v>
      </c>
      <c r="P43" s="458">
        <f>'Rider Rates'!$D$91</f>
        <v>45167</v>
      </c>
      <c r="Q43" s="490"/>
      <c r="R43" s="505"/>
      <c r="S43" s="522"/>
      <c r="T43" s="510"/>
      <c r="U43" s="433"/>
      <c r="V43" s="52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row>
    <row r="44" spans="1:221" x14ac:dyDescent="0.2">
      <c r="A44" s="432" t="s">
        <v>214</v>
      </c>
      <c r="B44" s="433"/>
      <c r="C44" s="433"/>
      <c r="D44" s="428"/>
      <c r="E44" s="484" t="s">
        <v>114</v>
      </c>
      <c r="F44" s="490"/>
      <c r="G44" s="489"/>
      <c r="H44" s="452"/>
      <c r="I44" s="486">
        <f>'Rider Rates'!$B$95</f>
        <v>11.97</v>
      </c>
      <c r="J44" s="486">
        <f t="shared" si="0"/>
        <v>11.97</v>
      </c>
      <c r="K44" s="464"/>
      <c r="L44" s="250"/>
      <c r="M44" s="250"/>
      <c r="N44" s="250">
        <f>I44</f>
        <v>11.97</v>
      </c>
      <c r="O44" s="250">
        <f t="shared" si="2"/>
        <v>11.97</v>
      </c>
      <c r="P44" s="458">
        <f>'Rider Rates'!$D$95</f>
        <v>45442</v>
      </c>
      <c r="Q44" s="490"/>
      <c r="R44" s="505"/>
      <c r="S44" s="522"/>
      <c r="T44" s="510"/>
      <c r="U44" s="433"/>
      <c r="V44" s="52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row>
    <row r="45" spans="1:221" x14ac:dyDescent="0.2">
      <c r="A45" s="432" t="s">
        <v>247</v>
      </c>
      <c r="B45" s="433"/>
      <c r="C45" s="433"/>
      <c r="D45" s="427">
        <f>IF($C$15&lt;0,0,$C$15)</f>
        <v>0</v>
      </c>
      <c r="E45" s="461" t="s">
        <v>41</v>
      </c>
      <c r="F45" s="462" t="s">
        <v>8</v>
      </c>
      <c r="G45" s="479"/>
      <c r="H45" s="479"/>
      <c r="I45" s="479"/>
      <c r="J45" s="479">
        <f>'Rider Rates'!$B$99</f>
        <v>0</v>
      </c>
      <c r="K45" s="464" t="s">
        <v>42</v>
      </c>
      <c r="L45" s="250"/>
      <c r="M45" s="250"/>
      <c r="N45" s="250"/>
      <c r="O45" s="250">
        <f>ROUND($D45*('Rider Rates'!B$99),2)</f>
        <v>0</v>
      </c>
      <c r="P45" s="458">
        <f>'Rider Rates'!$D$99</f>
        <v>44531</v>
      </c>
      <c r="Q45" s="490"/>
      <c r="R45" s="505"/>
      <c r="S45" s="522"/>
      <c r="T45" s="510"/>
      <c r="U45" s="433"/>
      <c r="V45" s="52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row>
    <row r="46" spans="1:221" x14ac:dyDescent="0.2">
      <c r="A46" s="477" t="s">
        <v>156</v>
      </c>
      <c r="B46" s="433"/>
      <c r="C46" s="433"/>
      <c r="D46" s="428">
        <f>$N$23</f>
        <v>9.4</v>
      </c>
      <c r="E46" s="461" t="s">
        <v>121</v>
      </c>
      <c r="F46" s="462" t="s">
        <v>8</v>
      </c>
      <c r="G46" s="489"/>
      <c r="H46" s="452"/>
      <c r="I46" s="488">
        <f>'Rider Rates'!$B$109</f>
        <v>0.211176</v>
      </c>
      <c r="J46" s="488">
        <f t="shared" si="0"/>
        <v>0.211176</v>
      </c>
      <c r="K46" s="464"/>
      <c r="L46" s="250"/>
      <c r="M46" s="250"/>
      <c r="N46" s="250">
        <f>ROUND(D46*I46,2)</f>
        <v>1.99</v>
      </c>
      <c r="O46" s="250">
        <f t="shared" si="2"/>
        <v>1.99</v>
      </c>
      <c r="P46" s="458">
        <f>'Rider Rates'!$D$109</f>
        <v>45532</v>
      </c>
      <c r="Q46" s="490"/>
      <c r="R46" s="505"/>
      <c r="S46" s="522"/>
      <c r="T46" s="510"/>
      <c r="U46" s="433"/>
      <c r="V46" s="52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row>
    <row r="47" spans="1:221" x14ac:dyDescent="0.2">
      <c r="A47" s="432" t="s">
        <v>217</v>
      </c>
      <c r="B47" s="433"/>
      <c r="C47" s="433"/>
      <c r="D47" s="428"/>
      <c r="E47" s="484" t="s">
        <v>114</v>
      </c>
      <c r="F47" s="490"/>
      <c r="G47" s="489"/>
      <c r="H47" s="452"/>
      <c r="I47" s="486">
        <f>'Rider Rates'!$B$113</f>
        <v>0</v>
      </c>
      <c r="J47" s="486">
        <f t="shared" si="0"/>
        <v>0</v>
      </c>
      <c r="K47" s="464"/>
      <c r="L47" s="250"/>
      <c r="M47" s="250"/>
      <c r="N47" s="250">
        <f>I47</f>
        <v>0</v>
      </c>
      <c r="O47" s="250">
        <f t="shared" si="2"/>
        <v>0</v>
      </c>
      <c r="P47" s="458">
        <f>'Rider Rates'!$D$113</f>
        <v>44894</v>
      </c>
      <c r="Q47" s="490"/>
      <c r="R47" s="505"/>
      <c r="S47" s="522"/>
      <c r="T47" s="510"/>
      <c r="U47" s="433"/>
      <c r="V47" s="52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row>
    <row r="48" spans="1:221" x14ac:dyDescent="0.2">
      <c r="A48" s="432" t="s">
        <v>225</v>
      </c>
      <c r="B48" s="433"/>
      <c r="C48" s="433"/>
      <c r="D48" s="428"/>
      <c r="E48" s="484" t="s">
        <v>114</v>
      </c>
      <c r="F48" s="490"/>
      <c r="G48" s="489"/>
      <c r="H48" s="452"/>
      <c r="I48" s="491">
        <f>'Rider Rates'!B126</f>
        <v>5.83</v>
      </c>
      <c r="J48" s="486">
        <f t="shared" si="0"/>
        <v>5.83</v>
      </c>
      <c r="K48" s="464"/>
      <c r="L48" s="250"/>
      <c r="M48" s="250"/>
      <c r="N48" s="492">
        <f>I48</f>
        <v>5.83</v>
      </c>
      <c r="O48" s="250">
        <f t="shared" si="2"/>
        <v>5.83</v>
      </c>
      <c r="P48" s="458">
        <f>'Rider Rates'!D126</f>
        <v>45226</v>
      </c>
      <c r="Q48" s="490"/>
      <c r="R48" s="505"/>
      <c r="S48" s="522"/>
      <c r="T48" s="510"/>
      <c r="U48" s="433"/>
      <c r="V48" s="52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row>
    <row r="49" spans="1:236" x14ac:dyDescent="0.2">
      <c r="A49" s="477" t="s">
        <v>157</v>
      </c>
      <c r="B49" s="433"/>
      <c r="C49" s="433"/>
      <c r="D49" s="427">
        <f>C16+C17</f>
        <v>0</v>
      </c>
      <c r="E49" s="461" t="s">
        <v>41</v>
      </c>
      <c r="F49" s="462" t="s">
        <v>8</v>
      </c>
      <c r="G49" s="479">
        <f>'Rider Rates'!$B$116</f>
        <v>3.8972999999999998E-3</v>
      </c>
      <c r="H49" s="479"/>
      <c r="I49" s="488"/>
      <c r="J49" s="482">
        <f>SUM(G49:H49)</f>
        <v>3.8972999999999998E-3</v>
      </c>
      <c r="K49" s="464" t="s">
        <v>42</v>
      </c>
      <c r="L49" s="250">
        <f>ROUND(D49*G49,2)</f>
        <v>0</v>
      </c>
      <c r="M49" s="250"/>
      <c r="N49" s="250"/>
      <c r="O49" s="250">
        <f t="shared" si="2"/>
        <v>0</v>
      </c>
      <c r="P49" s="458">
        <f>'Rider Rates'!$D$116</f>
        <v>44531</v>
      </c>
      <c r="Q49" s="490"/>
      <c r="R49" s="505"/>
      <c r="S49" s="522"/>
      <c r="T49" s="510"/>
      <c r="U49" s="433"/>
      <c r="V49" s="52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row>
    <row r="50" spans="1:236" x14ac:dyDescent="0.2">
      <c r="A50" s="432" t="s">
        <v>216</v>
      </c>
      <c r="B50" s="433"/>
      <c r="C50" s="433"/>
      <c r="D50" s="427">
        <f>IF($C$15&lt;1,0,$C$15)</f>
        <v>0</v>
      </c>
      <c r="E50" s="461" t="s">
        <v>41</v>
      </c>
      <c r="F50" s="454" t="s">
        <v>8</v>
      </c>
      <c r="G50" s="493"/>
      <c r="H50" s="493"/>
      <c r="I50" s="494">
        <f>'Rider Rates'!B122</f>
        <v>-6.2E-4</v>
      </c>
      <c r="J50" s="494">
        <f>SUM(G50:I50)</f>
        <v>-6.2E-4</v>
      </c>
      <c r="K50" s="464" t="s">
        <v>42</v>
      </c>
      <c r="L50" s="250"/>
      <c r="M50" s="250"/>
      <c r="N50" s="250">
        <f>D50*J50</f>
        <v>0</v>
      </c>
      <c r="O50" s="250">
        <f>SUM(L50:N50)</f>
        <v>0</v>
      </c>
      <c r="P50" s="458">
        <f>'Rider Rates'!D122</f>
        <v>44531</v>
      </c>
      <c r="Q50" s="490"/>
      <c r="R50" s="505"/>
      <c r="S50" s="522"/>
      <c r="T50" s="510"/>
      <c r="U50" s="433"/>
      <c r="V50" s="52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row>
    <row r="51" spans="1:236" x14ac:dyDescent="0.2">
      <c r="A51" s="433" t="s">
        <v>241</v>
      </c>
      <c r="B51" s="433"/>
      <c r="C51" s="433"/>
      <c r="D51" s="427">
        <f>IF(C15&lt;0,0,IF(C15&gt;833000,833000,C15))</f>
        <v>0</v>
      </c>
      <c r="E51" s="461" t="s">
        <v>41</v>
      </c>
      <c r="F51" s="462" t="s">
        <v>8</v>
      </c>
      <c r="G51" s="495"/>
      <c r="H51" s="495"/>
      <c r="I51" s="495">
        <f>'Rider Rates'!$B$130</f>
        <v>2.9050000000000001E-4</v>
      </c>
      <c r="J51" s="495">
        <f>SUM(G51:I51)</f>
        <v>2.9050000000000001E-4</v>
      </c>
      <c r="K51" s="464" t="s">
        <v>42</v>
      </c>
      <c r="L51" s="496"/>
      <c r="M51" s="496"/>
      <c r="N51" s="496">
        <f>IF(D51*J51&gt;'Rider Rates'!$C$130,'Rider Rates'!$C$130,D51*J51)</f>
        <v>0</v>
      </c>
      <c r="O51" s="496">
        <f>SUM(L51:N51)</f>
        <v>0</v>
      </c>
      <c r="P51" s="497">
        <f>'Rider Rates'!$E$130</f>
        <v>45292</v>
      </c>
      <c r="Q51" s="490"/>
      <c r="R51" s="505"/>
      <c r="S51" s="522"/>
      <c r="T51" s="510"/>
      <c r="U51" s="433"/>
      <c r="V51" s="52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row>
    <row r="52" spans="1:236" x14ac:dyDescent="0.2">
      <c r="A52" s="433" t="s">
        <v>242</v>
      </c>
      <c r="B52" s="433"/>
      <c r="C52" s="433"/>
      <c r="D52" s="427">
        <f>IF(C15&gt;833000,C15-833000,0)</f>
        <v>0</v>
      </c>
      <c r="E52" s="461" t="s">
        <v>41</v>
      </c>
      <c r="F52" s="462" t="s">
        <v>8</v>
      </c>
      <c r="G52" s="495"/>
      <c r="H52" s="495"/>
      <c r="I52" s="495">
        <f>'Rider Rates'!$B$131</f>
        <v>0</v>
      </c>
      <c r="J52" s="495">
        <f>SUM(G52:I52)</f>
        <v>0</v>
      </c>
      <c r="K52" s="464" t="s">
        <v>42</v>
      </c>
      <c r="L52" s="496"/>
      <c r="M52" s="496"/>
      <c r="N52" s="496">
        <f>D52*J52</f>
        <v>0</v>
      </c>
      <c r="O52" s="496">
        <f>SUM(L52:N52)</f>
        <v>0</v>
      </c>
      <c r="P52" s="497">
        <f>'Rider Rates'!$E$131</f>
        <v>44927</v>
      </c>
      <c r="Q52" s="490"/>
      <c r="R52" s="505"/>
      <c r="S52" s="522"/>
      <c r="T52" s="510"/>
      <c r="U52" s="433"/>
      <c r="V52" s="52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row>
    <row r="53" spans="1:236" x14ac:dyDescent="0.2">
      <c r="A53" s="483" t="s">
        <v>250</v>
      </c>
      <c r="B53" s="433"/>
      <c r="C53" s="433"/>
      <c r="D53" s="427">
        <f>C15</f>
        <v>0</v>
      </c>
      <c r="E53" s="461" t="s">
        <v>41</v>
      </c>
      <c r="F53" s="454" t="s">
        <v>8</v>
      </c>
      <c r="G53" s="479"/>
      <c r="H53" s="479"/>
      <c r="I53" s="479">
        <f>'Rider Rates'!$B$135</f>
        <v>0</v>
      </c>
      <c r="J53" s="482">
        <f>SUM(G53:I53)</f>
        <v>0</v>
      </c>
      <c r="K53" s="464" t="s">
        <v>42</v>
      </c>
      <c r="L53" s="250"/>
      <c r="M53" s="250"/>
      <c r="N53" s="250">
        <f>D53*J53</f>
        <v>0</v>
      </c>
      <c r="O53" s="250">
        <f>SUM(L53:N53)</f>
        <v>0</v>
      </c>
      <c r="P53" s="458">
        <f>'Rider Rates'!$D$135</f>
        <v>44531</v>
      </c>
      <c r="Q53" s="490"/>
      <c r="R53" s="505"/>
      <c r="S53" s="522"/>
      <c r="T53" s="510"/>
      <c r="U53" s="433"/>
      <c r="V53" s="52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row>
    <row r="54" spans="1:236" x14ac:dyDescent="0.2">
      <c r="A54" s="483" t="s">
        <v>249</v>
      </c>
      <c r="B54" s="433"/>
      <c r="C54" s="433"/>
      <c r="D54" s="460"/>
      <c r="E54" s="461" t="s">
        <v>114</v>
      </c>
      <c r="F54" s="462" t="s">
        <v>8</v>
      </c>
      <c r="G54" s="463"/>
      <c r="H54" s="463"/>
      <c r="I54" s="463">
        <f>'Rider Rates'!$B$142</f>
        <v>0</v>
      </c>
      <c r="J54" s="463">
        <f>SUM(G54:I54)</f>
        <v>0</v>
      </c>
      <c r="K54" s="464"/>
      <c r="L54" s="457"/>
      <c r="M54" s="457"/>
      <c r="N54" s="457">
        <f>J54</f>
        <v>0</v>
      </c>
      <c r="O54" s="457">
        <f>SUM(L54:N54)</f>
        <v>0</v>
      </c>
      <c r="P54" s="497">
        <f>'Rider Rates'!$D$142</f>
        <v>44531</v>
      </c>
      <c r="Q54" s="490"/>
      <c r="R54" s="505"/>
      <c r="S54" s="522"/>
      <c r="T54" s="510"/>
      <c r="U54" s="433"/>
      <c r="V54" s="52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row>
    <row r="55" spans="1:236" x14ac:dyDescent="0.2">
      <c r="A55" s="483" t="s">
        <v>251</v>
      </c>
      <c r="B55" s="433"/>
      <c r="C55" s="433"/>
      <c r="D55" s="460"/>
      <c r="E55" s="461"/>
      <c r="F55" s="462"/>
      <c r="G55" s="463"/>
      <c r="H55" s="463"/>
      <c r="I55" s="463"/>
      <c r="J55" s="463"/>
      <c r="K55" s="464"/>
      <c r="L55" s="457"/>
      <c r="M55" s="457"/>
      <c r="N55" s="457"/>
      <c r="O55" s="457"/>
      <c r="P55" s="497"/>
      <c r="Q55" s="490"/>
      <c r="R55" s="505"/>
      <c r="S55" s="522"/>
      <c r="T55" s="510"/>
      <c r="U55" s="433"/>
      <c r="V55" s="52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row>
    <row r="56" spans="1:236" x14ac:dyDescent="0.2">
      <c r="A56" s="498" t="s">
        <v>70</v>
      </c>
      <c r="B56" s="472"/>
      <c r="C56" s="472"/>
      <c r="D56" s="499"/>
      <c r="E56" s="500"/>
      <c r="F56" s="501"/>
      <c r="G56" s="501"/>
      <c r="H56" s="501"/>
      <c r="I56" s="501"/>
      <c r="J56" s="501"/>
      <c r="K56" s="502"/>
      <c r="L56" s="503">
        <f>SUM(L27:L55)</f>
        <v>0</v>
      </c>
      <c r="M56" s="503">
        <f>SUM(M27:M55)</f>
        <v>0</v>
      </c>
      <c r="N56" s="503">
        <f>SUM(N27:N55)</f>
        <v>20.700000000000003</v>
      </c>
      <c r="O56" s="503">
        <f>SUM(O27:O55)</f>
        <v>20.700000000000003</v>
      </c>
      <c r="P56" s="504"/>
      <c r="Q56" s="490"/>
      <c r="R56" s="505"/>
      <c r="S56" s="522"/>
      <c r="T56" s="510"/>
      <c r="U56" s="433"/>
      <c r="V56" s="52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row>
    <row r="57" spans="1:236" x14ac:dyDescent="0.2">
      <c r="A57" s="433"/>
      <c r="B57" s="433"/>
      <c r="C57" s="433"/>
      <c r="D57" s="460"/>
      <c r="E57" s="484"/>
      <c r="F57" s="490"/>
      <c r="G57" s="490"/>
      <c r="H57" s="490"/>
      <c r="I57" s="490"/>
      <c r="J57" s="505"/>
      <c r="K57" s="464"/>
      <c r="L57" s="490"/>
      <c r="M57" s="490"/>
      <c r="N57" s="490"/>
      <c r="O57" s="490"/>
      <c r="P57" s="506"/>
      <c r="Q57" s="490"/>
      <c r="R57" s="505"/>
      <c r="S57" s="522"/>
      <c r="T57" s="510"/>
      <c r="U57" s="433"/>
      <c r="V57" s="52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row>
    <row r="58" spans="1:236" x14ac:dyDescent="0.2">
      <c r="A58" s="507" t="s">
        <v>93</v>
      </c>
      <c r="B58" s="442"/>
      <c r="C58" s="442"/>
      <c r="D58" s="442"/>
      <c r="E58" s="442"/>
      <c r="F58" s="442"/>
      <c r="G58" s="442"/>
      <c r="H58" s="442"/>
      <c r="I58" s="442"/>
      <c r="J58" s="442"/>
      <c r="K58" s="442"/>
      <c r="L58" s="508">
        <f>L23+L56</f>
        <v>0</v>
      </c>
      <c r="M58" s="508">
        <f>M23+M56</f>
        <v>0</v>
      </c>
      <c r="N58" s="508">
        <f>N23+N56</f>
        <v>30.1</v>
      </c>
      <c r="O58" s="509">
        <f>O23+O56</f>
        <v>30.1</v>
      </c>
      <c r="P58" s="509"/>
      <c r="Q58" s="490"/>
      <c r="R58" s="524"/>
      <c r="S58" s="522"/>
      <c r="T58" s="510"/>
      <c r="U58" s="433"/>
      <c r="V58" s="522"/>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row>
    <row r="59" spans="1:236" x14ac:dyDescent="0.2">
      <c r="A59" s="433"/>
      <c r="B59" s="433"/>
      <c r="C59" s="433"/>
      <c r="D59" s="433"/>
      <c r="E59" s="433"/>
      <c r="F59" s="433"/>
      <c r="G59" s="433"/>
      <c r="H59" s="433"/>
      <c r="I59" s="433"/>
      <c r="J59" s="433"/>
      <c r="K59" s="433"/>
      <c r="L59" s="433"/>
      <c r="M59" s="433"/>
      <c r="Q59" s="473"/>
      <c r="R59" s="473"/>
      <c r="S59" s="473"/>
      <c r="T59" s="525"/>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row>
    <row r="60" spans="1:236" x14ac:dyDescent="0.2">
      <c r="A60" s="433"/>
      <c r="B60" s="433"/>
      <c r="C60" s="433"/>
      <c r="D60" s="433"/>
      <c r="E60" s="433"/>
      <c r="F60" s="433"/>
      <c r="G60" s="433"/>
      <c r="H60" s="433"/>
      <c r="I60" s="433"/>
      <c r="J60" s="433"/>
      <c r="K60" s="433"/>
      <c r="L60" s="433"/>
      <c r="M60" s="433"/>
      <c r="Q60" s="473"/>
      <c r="R60" s="473"/>
      <c r="S60" s="473"/>
      <c r="T60" s="525"/>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row>
    <row r="61" spans="1:236" x14ac:dyDescent="0.2">
      <c r="A61" s="473" t="s">
        <v>92</v>
      </c>
      <c r="B61" s="433"/>
      <c r="C61" s="433"/>
      <c r="D61" s="433"/>
      <c r="E61" s="433"/>
      <c r="F61" s="433"/>
      <c r="G61" s="433"/>
      <c r="H61" s="433"/>
      <c r="I61" s="433"/>
      <c r="J61" s="433"/>
      <c r="K61" s="433"/>
      <c r="L61" s="433"/>
      <c r="M61" s="433"/>
      <c r="N61" s="433"/>
      <c r="O61" s="510">
        <f>O21+O56</f>
        <v>30.1</v>
      </c>
      <c r="Q61" s="473"/>
      <c r="R61" s="473"/>
      <c r="S61" s="473"/>
      <c r="T61" s="525"/>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row>
    <row r="62" spans="1:236" x14ac:dyDescent="0.2">
      <c r="A62" s="473" t="s">
        <v>15</v>
      </c>
      <c r="B62" s="473"/>
      <c r="C62" s="473"/>
      <c r="D62" s="473"/>
      <c r="E62" s="473"/>
      <c r="F62" s="473"/>
      <c r="G62" s="473"/>
      <c r="H62" s="473"/>
      <c r="I62" s="433"/>
      <c r="J62" s="433"/>
      <c r="K62" s="433"/>
      <c r="L62" s="433"/>
      <c r="M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row>
    <row r="63" spans="1:236" x14ac:dyDescent="0.2">
      <c r="A63" s="472" t="s">
        <v>116</v>
      </c>
      <c r="O63" s="511">
        <f>IF($D$17&lt;0,O58,IF(O58&gt;O61,O58,O61))</f>
        <v>30.1</v>
      </c>
      <c r="P63" s="475"/>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row>
    <row r="64" spans="1:236" ht="15" customHeight="1" x14ac:dyDescent="0.2">
      <c r="A64" s="472"/>
      <c r="O64" s="511"/>
      <c r="P64" s="475"/>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row>
    <row r="65" spans="1:222" x14ac:dyDescent="0.2">
      <c r="A65" s="472"/>
      <c r="B65" s="473"/>
      <c r="C65" s="473"/>
      <c r="D65" s="473"/>
      <c r="E65" s="473"/>
      <c r="F65" s="473"/>
      <c r="G65" s="473"/>
      <c r="H65" s="473"/>
      <c r="I65" s="473" t="s">
        <v>120</v>
      </c>
      <c r="J65" s="473"/>
      <c r="K65" s="473"/>
      <c r="L65" s="512"/>
      <c r="M65" s="512"/>
      <c r="N65" s="512"/>
      <c r="O65" s="512">
        <f>ROUND(IF($C$15&lt;1,0,O58/($C$15*100)*10000),2)</f>
        <v>0</v>
      </c>
      <c r="P65" s="465" t="s">
        <v>86</v>
      </c>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HE65" s="433"/>
      <c r="HF65" s="433"/>
      <c r="HG65" s="433"/>
      <c r="HH65" s="433"/>
      <c r="HI65" s="433"/>
      <c r="HJ65" s="433"/>
      <c r="HK65" s="433"/>
      <c r="HL65" s="433"/>
      <c r="HM65" s="433"/>
      <c r="HN65" s="433"/>
    </row>
    <row r="66" spans="1:222" x14ac:dyDescent="0.2">
      <c r="B66" s="433"/>
      <c r="C66" s="433"/>
      <c r="D66" s="433"/>
      <c r="E66" s="433"/>
      <c r="F66" s="433"/>
      <c r="G66" s="433"/>
      <c r="H66" s="513"/>
      <c r="I66" s="514" t="s">
        <v>198</v>
      </c>
      <c r="J66" s="433"/>
      <c r="K66" s="433"/>
      <c r="L66" s="433"/>
      <c r="M66" s="433"/>
      <c r="N66" s="433"/>
      <c r="O66" s="515">
        <f>ROUND(IF($C$15&lt;1,0,(L58)/($C$15*100)*10000),2)</f>
        <v>0</v>
      </c>
      <c r="P66" s="436" t="s">
        <v>86</v>
      </c>
      <c r="Q66" s="433"/>
      <c r="R66" s="433"/>
      <c r="S66" s="433"/>
      <c r="T66" s="433"/>
      <c r="U66" s="433"/>
      <c r="V66" s="433"/>
      <c r="W66" s="433"/>
      <c r="X66" s="433"/>
      <c r="Y66" s="433"/>
      <c r="Z66" s="433"/>
      <c r="AA66" s="433"/>
      <c r="AB66" s="433"/>
      <c r="AC66" s="433"/>
      <c r="AD66" s="433"/>
      <c r="AE66" s="433"/>
      <c r="AF66" s="433"/>
      <c r="AG66" s="433"/>
      <c r="AH66" s="433"/>
      <c r="AI66" s="433"/>
      <c r="AJ66" s="433"/>
      <c r="AK66" s="433"/>
    </row>
  </sheetData>
  <sheetProtection algorithmName="SHA-512" hashValue="HSvwRdQBoqcH57IBdA7Ttxdq9YKMZm7dWiFYk9n8gxZtWLLLfAk1i89qaOthowtiri35v/kJK4AaYtMCa1kB1Q==" saltValue="X9HTrIHF1ay9ZKJSajaRf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6369"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86370"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6371"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86372"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86373"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86374"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66A7-CFA8-4BF5-9963-5EDBC7BF04D1}">
  <sheetPr codeName="Sheet12"/>
  <dimension ref="A1:IB66"/>
  <sheetViews>
    <sheetView topLeftCell="A9" zoomScale="80" zoomScaleNormal="80" workbookViewId="0">
      <selection activeCell="D37" sqref="D37"/>
    </sheetView>
  </sheetViews>
  <sheetFormatPr defaultColWidth="8.5703125" defaultRowHeight="12.75" x14ac:dyDescent="0.2"/>
  <cols>
    <col min="1" max="1" width="31" style="430" customWidth="1"/>
    <col min="2" max="2" width="2.140625" style="430" customWidth="1"/>
    <col min="3" max="3" width="21.140625" style="430" customWidth="1"/>
    <col min="4" max="4" width="15.42578125" style="430" customWidth="1"/>
    <col min="5" max="5" width="10.140625" style="430" customWidth="1"/>
    <col min="6" max="6" width="5.5703125" style="430" customWidth="1"/>
    <col min="7" max="8" width="13.42578125" style="430" customWidth="1"/>
    <col min="9" max="9" width="14.5703125" style="430" customWidth="1"/>
    <col min="10" max="10" width="13.42578125" style="430" customWidth="1"/>
    <col min="11" max="11" width="7" style="430" customWidth="1"/>
    <col min="12" max="12" width="15.140625" style="430" customWidth="1"/>
    <col min="13" max="13" width="17.42578125" style="430" bestFit="1" customWidth="1"/>
    <col min="14" max="14" width="16.5703125" style="430" customWidth="1"/>
    <col min="15" max="15" width="19.140625" style="430" bestFit="1" customWidth="1"/>
    <col min="16" max="16" width="12.85546875" style="430" bestFit="1" customWidth="1"/>
    <col min="17" max="17" width="8.5703125" style="430"/>
    <col min="18" max="18" width="9.140625" style="430" hidden="1" customWidth="1"/>
    <col min="19" max="26" width="10.42578125" style="430" hidden="1" customWidth="1"/>
    <col min="27" max="27" width="10.5703125" style="430" hidden="1" customWidth="1"/>
    <col min="28" max="30" width="10.42578125" style="430" hidden="1" customWidth="1"/>
    <col min="31" max="16384" width="8.5703125" style="430"/>
  </cols>
  <sheetData>
    <row r="1" spans="1:30" ht="20.25" x14ac:dyDescent="0.3">
      <c r="A1" s="573" t="s">
        <v>119</v>
      </c>
      <c r="B1" s="573"/>
      <c r="C1" s="573"/>
      <c r="D1" s="573"/>
      <c r="E1" s="573"/>
      <c r="F1" s="573"/>
      <c r="G1" s="573"/>
      <c r="H1" s="573"/>
      <c r="I1" s="573"/>
      <c r="J1" s="573"/>
      <c r="K1" s="573"/>
      <c r="L1" s="573"/>
      <c r="M1" s="573"/>
      <c r="N1" s="573"/>
      <c r="O1" s="573"/>
      <c r="P1" s="573"/>
    </row>
    <row r="2" spans="1:30" ht="20.25" x14ac:dyDescent="0.3">
      <c r="A2" s="573" t="s">
        <v>122</v>
      </c>
      <c r="B2" s="573"/>
      <c r="C2" s="573"/>
      <c r="D2" s="573"/>
      <c r="E2" s="573"/>
      <c r="F2" s="573"/>
      <c r="G2" s="573"/>
      <c r="H2" s="573"/>
      <c r="I2" s="573"/>
      <c r="J2" s="573"/>
      <c r="K2" s="573"/>
      <c r="L2" s="573"/>
      <c r="M2" s="573"/>
      <c r="N2" s="573"/>
      <c r="O2" s="573"/>
      <c r="P2" s="573"/>
    </row>
    <row r="3" spans="1:30" ht="18" x14ac:dyDescent="0.25">
      <c r="A3" s="574" t="s">
        <v>334</v>
      </c>
      <c r="B3" s="574"/>
      <c r="C3" s="574"/>
      <c r="D3" s="574"/>
      <c r="E3" s="574"/>
      <c r="F3" s="574"/>
      <c r="G3" s="574"/>
      <c r="H3" s="574"/>
      <c r="I3" s="574"/>
      <c r="J3" s="574"/>
      <c r="K3" s="574"/>
      <c r="L3" s="574"/>
      <c r="M3" s="574"/>
      <c r="N3" s="574"/>
      <c r="O3" s="574"/>
      <c r="P3" s="574"/>
    </row>
    <row r="4" spans="1:30" ht="15.75" x14ac:dyDescent="0.25">
      <c r="A4" s="575" t="str">
        <f>'Customer Info'!B12</f>
        <v>Breakdown of Charges Based on Entered Information</v>
      </c>
      <c r="B4" s="575"/>
      <c r="C4" s="575"/>
      <c r="D4" s="575"/>
      <c r="E4" s="575"/>
      <c r="F4" s="575"/>
      <c r="G4" s="575"/>
      <c r="H4" s="575"/>
      <c r="I4" s="575"/>
      <c r="J4" s="575"/>
      <c r="K4" s="575"/>
      <c r="L4" s="575"/>
      <c r="M4" s="575"/>
      <c r="N4" s="575"/>
      <c r="O4" s="575"/>
      <c r="P4" s="575"/>
    </row>
    <row r="5" spans="1:30" ht="15" x14ac:dyDescent="0.2">
      <c r="A5" s="429"/>
      <c r="B5" s="429"/>
      <c r="C5" s="429"/>
      <c r="D5" s="429"/>
      <c r="E5" s="429"/>
      <c r="F5" s="429"/>
      <c r="G5" s="429"/>
      <c r="H5" s="429" t="s">
        <v>337</v>
      </c>
      <c r="I5" s="429"/>
      <c r="J5" s="429"/>
      <c r="K5" s="429"/>
    </row>
    <row r="6" spans="1:30" x14ac:dyDescent="0.2">
      <c r="A6" s="431">
        <f ca="1">TODAY()</f>
        <v>45532</v>
      </c>
      <c r="B6" s="432"/>
      <c r="C6" s="431"/>
      <c r="D6" s="431"/>
      <c r="E6" s="431"/>
      <c r="F6" s="431"/>
      <c r="G6" s="431"/>
      <c r="H6" s="431"/>
      <c r="I6" s="431"/>
    </row>
    <row r="7" spans="1:30" ht="26.25" x14ac:dyDescent="0.4">
      <c r="A7" s="576"/>
      <c r="B7" s="576"/>
      <c r="C7" s="576"/>
      <c r="D7" s="576"/>
      <c r="E7" s="576"/>
      <c r="F7" s="576"/>
      <c r="G7" s="576"/>
      <c r="H7" s="576"/>
      <c r="I7" s="576"/>
      <c r="J7" s="576"/>
      <c r="K7" s="576"/>
      <c r="L7" s="576"/>
      <c r="M7" s="576"/>
      <c r="N7" s="576"/>
      <c r="O7" s="576"/>
      <c r="P7" s="576"/>
    </row>
    <row r="8" spans="1:30" x14ac:dyDescent="0.2">
      <c r="C8" s="433"/>
      <c r="D8" s="433"/>
      <c r="E8" s="433"/>
      <c r="F8" s="433"/>
      <c r="G8" s="433"/>
      <c r="H8" s="433"/>
      <c r="I8" s="433"/>
      <c r="J8" s="433"/>
      <c r="K8" s="433"/>
    </row>
    <row r="9" spans="1:30" ht="15" x14ac:dyDescent="0.2">
      <c r="A9" s="434" t="s">
        <v>2</v>
      </c>
      <c r="B9" s="435"/>
      <c r="C9" s="436">
        <f>'Customer Info'!B7</f>
        <v>0</v>
      </c>
      <c r="I9" s="437"/>
    </row>
    <row r="10" spans="1:30" ht="15" x14ac:dyDescent="0.2">
      <c r="A10" s="438" t="s">
        <v>26</v>
      </c>
      <c r="B10" s="435"/>
      <c r="C10" s="436">
        <f>'Customer Info'!B8</f>
        <v>0</v>
      </c>
    </row>
    <row r="11" spans="1:30" x14ac:dyDescent="0.2">
      <c r="A11" s="434" t="s">
        <v>3</v>
      </c>
      <c r="B11" s="439">
        <f>'Customer Info'!B9</f>
        <v>9</v>
      </c>
      <c r="C11" s="440" t="str">
        <f>LOOKUP(B11,R11:AD11,R12:AD12)</f>
        <v>September</v>
      </c>
      <c r="D11" s="441">
        <f>'Customer Info'!C9</f>
        <v>2024</v>
      </c>
      <c r="S11" s="430">
        <v>1</v>
      </c>
      <c r="T11" s="430">
        <v>2</v>
      </c>
      <c r="U11" s="430">
        <v>3</v>
      </c>
      <c r="V11" s="430">
        <v>4</v>
      </c>
      <c r="W11" s="430">
        <v>5</v>
      </c>
      <c r="X11" s="430">
        <v>6</v>
      </c>
      <c r="Y11" s="430">
        <v>7</v>
      </c>
      <c r="Z11" s="430">
        <v>8</v>
      </c>
      <c r="AA11" s="430">
        <v>9</v>
      </c>
      <c r="AB11" s="430">
        <v>10</v>
      </c>
      <c r="AC11" s="430">
        <v>11</v>
      </c>
      <c r="AD11" s="430">
        <v>12</v>
      </c>
    </row>
    <row r="12" spans="1:30" x14ac:dyDescent="0.2">
      <c r="A12" s="577"/>
      <c r="B12" s="577"/>
      <c r="C12" s="577"/>
      <c r="D12" s="577"/>
      <c r="E12" s="577"/>
      <c r="F12" s="577"/>
      <c r="G12" s="577"/>
      <c r="H12" s="577"/>
      <c r="I12" s="577"/>
      <c r="J12" s="442"/>
      <c r="K12" s="442"/>
      <c r="L12" s="443"/>
      <c r="M12" s="443"/>
      <c r="N12" s="443"/>
      <c r="O12" s="443"/>
      <c r="P12" s="443"/>
      <c r="R12" s="430" t="s">
        <v>114</v>
      </c>
      <c r="S12" s="519" t="s">
        <v>101</v>
      </c>
      <c r="T12" s="519" t="s">
        <v>102</v>
      </c>
      <c r="U12" s="519" t="s">
        <v>103</v>
      </c>
      <c r="V12" s="519" t="s">
        <v>104</v>
      </c>
      <c r="W12" s="519" t="s">
        <v>105</v>
      </c>
      <c r="X12" s="519" t="s">
        <v>106</v>
      </c>
      <c r="Y12" s="519" t="s">
        <v>107</v>
      </c>
      <c r="Z12" s="519" t="s">
        <v>108</v>
      </c>
      <c r="AA12" s="519" t="s">
        <v>109</v>
      </c>
      <c r="AB12" s="519" t="s">
        <v>111</v>
      </c>
      <c r="AC12" s="519" t="s">
        <v>110</v>
      </c>
      <c r="AD12" s="519" t="s">
        <v>112</v>
      </c>
    </row>
    <row r="13" spans="1:30" x14ac:dyDescent="0.2">
      <c r="A13" s="444" t="s">
        <v>27</v>
      </c>
      <c r="B13" s="445"/>
      <c r="C13" s="445"/>
      <c r="D13" s="445"/>
      <c r="E13" s="445"/>
      <c r="F13" s="445"/>
      <c r="G13" s="445"/>
      <c r="H13" s="445"/>
      <c r="I13" s="445"/>
      <c r="R13" s="459" t="s">
        <v>195</v>
      </c>
      <c r="S13" s="430">
        <f>'Rider Rates'!$C$22</f>
        <v>7.0209999999999995E-2</v>
      </c>
      <c r="T13" s="430">
        <f>'Rider Rates'!$C$22</f>
        <v>7.0209999999999995E-2</v>
      </c>
      <c r="U13" s="430">
        <f>'Rider Rates'!$C$22</f>
        <v>7.0209999999999995E-2</v>
      </c>
      <c r="V13" s="430">
        <f>'Rider Rates'!$C$22</f>
        <v>7.0209999999999995E-2</v>
      </c>
      <c r="W13" s="430">
        <f>'Rider Rates'!$C$22</f>
        <v>7.0209999999999995E-2</v>
      </c>
      <c r="X13" s="430">
        <f>'Rider Rates'!$B$22</f>
        <v>7.0209999999999995E-2</v>
      </c>
      <c r="Y13" s="430">
        <f>'Rider Rates'!$B$22</f>
        <v>7.0209999999999995E-2</v>
      </c>
      <c r="Z13" s="430">
        <f>'Rider Rates'!$B$22</f>
        <v>7.0209999999999995E-2</v>
      </c>
      <c r="AA13" s="430">
        <f>'Rider Rates'!$B$22</f>
        <v>7.0209999999999995E-2</v>
      </c>
      <c r="AB13" s="430">
        <f>'Rider Rates'!$C$22</f>
        <v>7.0209999999999995E-2</v>
      </c>
      <c r="AC13" s="430">
        <f>'Rider Rates'!$C$22</f>
        <v>7.0209999999999995E-2</v>
      </c>
      <c r="AD13" s="430">
        <f>'Rider Rates'!$C$22</f>
        <v>7.0209999999999995E-2</v>
      </c>
    </row>
    <row r="14" spans="1:30" x14ac:dyDescent="0.2">
      <c r="A14" s="433"/>
      <c r="B14" s="433"/>
      <c r="C14" s="433"/>
      <c r="D14" s="433"/>
      <c r="E14" s="433"/>
      <c r="F14" s="433"/>
      <c r="G14" s="433"/>
      <c r="H14" s="433"/>
      <c r="I14" s="433"/>
      <c r="R14" s="433"/>
      <c r="S14" s="520"/>
      <c r="T14" s="520"/>
      <c r="U14" s="520"/>
      <c r="V14" s="520"/>
      <c r="W14" s="520"/>
      <c r="X14" s="520"/>
      <c r="Y14" s="520"/>
      <c r="Z14" s="520"/>
      <c r="AA14" s="520"/>
      <c r="AB14" s="520"/>
      <c r="AC14" s="520"/>
      <c r="AD14" s="520"/>
    </row>
    <row r="15" spans="1:30" x14ac:dyDescent="0.2">
      <c r="A15" s="446" t="s">
        <v>51</v>
      </c>
      <c r="B15" s="446"/>
      <c r="C15" s="447">
        <f>IF('Customer Info'!B22+'Customer Info'!B23-'Customer Info'!B24&lt;0,0,'Customer Info'!B22+'Customer Info'!B23-'Customer Info'!B24)</f>
        <v>0</v>
      </c>
      <c r="D15" s="446" t="s">
        <v>41</v>
      </c>
      <c r="E15" s="446"/>
      <c r="F15" s="448"/>
      <c r="G15" s="446"/>
      <c r="H15" s="446"/>
      <c r="I15" s="446"/>
      <c r="R15" s="433"/>
      <c r="S15" s="520"/>
      <c r="T15" s="520"/>
      <c r="U15" s="520"/>
      <c r="V15" s="520"/>
      <c r="W15" s="520"/>
      <c r="X15" s="520"/>
      <c r="Y15" s="520"/>
      <c r="Z15" s="520"/>
      <c r="AA15" s="520"/>
      <c r="AB15" s="520"/>
      <c r="AC15" s="520"/>
      <c r="AD15" s="520"/>
    </row>
    <row r="16" spans="1:30" x14ac:dyDescent="0.2">
      <c r="A16" s="446" t="s">
        <v>233</v>
      </c>
      <c r="B16" s="446"/>
      <c r="C16" s="447">
        <f>'Customer Info'!B22</f>
        <v>0</v>
      </c>
      <c r="D16" s="446" t="s">
        <v>41</v>
      </c>
      <c r="E16" s="446"/>
      <c r="F16" s="448"/>
      <c r="G16" s="434" t="s">
        <v>15</v>
      </c>
      <c r="H16" s="446"/>
    </row>
    <row r="17" spans="1:221" x14ac:dyDescent="0.2">
      <c r="A17" s="446" t="s">
        <v>234</v>
      </c>
      <c r="B17" s="446"/>
      <c r="C17" s="447">
        <f>'Customer Info'!B23</f>
        <v>0</v>
      </c>
      <c r="D17" s="449" t="s">
        <v>41</v>
      </c>
      <c r="E17" s="448"/>
      <c r="F17" s="448"/>
      <c r="G17" s="434" t="s">
        <v>15</v>
      </c>
      <c r="H17" s="446"/>
      <c r="I17" s="450" t="s">
        <v>15</v>
      </c>
    </row>
    <row r="19" spans="1:221" x14ac:dyDescent="0.2">
      <c r="A19" s="444" t="s">
        <v>31</v>
      </c>
      <c r="B19" s="445"/>
      <c r="C19" s="445"/>
      <c r="D19" s="445"/>
      <c r="E19" s="445"/>
      <c r="F19" s="445"/>
      <c r="G19" s="569" t="s">
        <v>67</v>
      </c>
      <c r="H19" s="570"/>
      <c r="I19" s="570"/>
      <c r="J19" s="571"/>
      <c r="K19" s="445"/>
      <c r="L19" s="572" t="s">
        <v>68</v>
      </c>
      <c r="M19" s="572"/>
      <c r="N19" s="572"/>
      <c r="O19" s="572"/>
    </row>
    <row r="20" spans="1:221" x14ac:dyDescent="0.2">
      <c r="A20" s="433"/>
      <c r="B20" s="433"/>
      <c r="C20" s="433"/>
      <c r="D20" s="433"/>
      <c r="E20" s="433"/>
      <c r="F20" s="433"/>
      <c r="G20" s="451" t="s">
        <v>64</v>
      </c>
      <c r="H20" s="451" t="s">
        <v>65</v>
      </c>
      <c r="I20" s="451" t="s">
        <v>66</v>
      </c>
      <c r="J20" s="452" t="s">
        <v>34</v>
      </c>
      <c r="K20" s="433"/>
      <c r="L20" s="453" t="s">
        <v>64</v>
      </c>
      <c r="M20" s="453" t="s">
        <v>65</v>
      </c>
      <c r="N20" s="453" t="s">
        <v>66</v>
      </c>
      <c r="O20" s="453" t="s">
        <v>34</v>
      </c>
      <c r="P20" s="454" t="s">
        <v>56</v>
      </c>
    </row>
    <row r="21" spans="1:221" x14ac:dyDescent="0.2">
      <c r="A21" s="430" t="s">
        <v>32</v>
      </c>
      <c r="G21" s="455"/>
      <c r="H21" s="455"/>
      <c r="I21" s="455">
        <f>'Rider Rates'!B149</f>
        <v>138.5</v>
      </c>
      <c r="J21" s="455">
        <f>SUM(G21:I21)</f>
        <v>138.5</v>
      </c>
      <c r="L21" s="456"/>
      <c r="M21" s="456"/>
      <c r="N21" s="456">
        <f>I21</f>
        <v>138.5</v>
      </c>
      <c r="O21" s="457">
        <f>SUM(L21:N21)</f>
        <v>138.5</v>
      </c>
      <c r="P21" s="458">
        <v>44531</v>
      </c>
    </row>
    <row r="22" spans="1:221" x14ac:dyDescent="0.2">
      <c r="A22" s="459" t="s">
        <v>302</v>
      </c>
      <c r="D22" s="460">
        <f>C15</f>
        <v>0</v>
      </c>
      <c r="E22" s="461" t="s">
        <v>41</v>
      </c>
      <c r="F22" s="462" t="s">
        <v>8</v>
      </c>
      <c r="G22" s="463"/>
      <c r="H22" s="463"/>
      <c r="I22" s="463">
        <f>'Rider Rates'!C149</f>
        <v>1.3832199999999999E-2</v>
      </c>
      <c r="J22" s="463">
        <f>SUM(G22:I22)</f>
        <v>1.3832199999999999E-2</v>
      </c>
      <c r="K22" s="464" t="s">
        <v>42</v>
      </c>
      <c r="L22" s="457"/>
      <c r="M22" s="457"/>
      <c r="N22" s="457">
        <f>IF(C15&lt;0,0,ROUND($D22*I22,2))</f>
        <v>0</v>
      </c>
      <c r="O22" s="457">
        <f>SUM(L22:N22)</f>
        <v>0</v>
      </c>
      <c r="P22" s="458">
        <f>'Rider Rates'!H149</f>
        <v>45444</v>
      </c>
    </row>
    <row r="23" spans="1:221" x14ac:dyDescent="0.2">
      <c r="A23" s="465" t="s">
        <v>50</v>
      </c>
      <c r="B23" s="465"/>
      <c r="C23" s="465"/>
      <c r="D23" s="466"/>
      <c r="E23" s="466"/>
      <c r="F23" s="465"/>
      <c r="G23" s="465"/>
      <c r="H23" s="465"/>
      <c r="I23" s="465"/>
      <c r="J23" s="465"/>
      <c r="K23" s="467"/>
      <c r="L23" s="468"/>
      <c r="M23" s="468"/>
      <c r="N23" s="468">
        <f>SUM(N21:N22)</f>
        <v>138.5</v>
      </c>
      <c r="O23" s="468">
        <f>SUM(O21:O22)</f>
        <v>138.5</v>
      </c>
    </row>
    <row r="24" spans="1:221" x14ac:dyDescent="0.2">
      <c r="A24" s="469"/>
      <c r="B24" s="469"/>
      <c r="C24" s="470"/>
      <c r="D24" s="470"/>
      <c r="E24" s="470"/>
      <c r="F24" s="470"/>
      <c r="G24" s="471"/>
      <c r="H24" s="471"/>
      <c r="I24" s="471"/>
      <c r="J24" s="471"/>
      <c r="K24" s="469"/>
      <c r="L24" s="469"/>
      <c r="M24" s="469"/>
      <c r="N24" s="469"/>
      <c r="O24" s="469"/>
      <c r="P24" s="469"/>
    </row>
    <row r="25" spans="1:221" x14ac:dyDescent="0.2">
      <c r="A25" s="472" t="s">
        <v>69</v>
      </c>
      <c r="B25" s="473"/>
      <c r="C25" s="473"/>
      <c r="D25" s="474"/>
      <c r="E25" s="474"/>
      <c r="F25" s="473"/>
      <c r="G25" s="474"/>
      <c r="H25" s="474"/>
      <c r="I25" s="474"/>
      <c r="J25" s="474"/>
      <c r="K25" s="474"/>
      <c r="L25" s="474"/>
      <c r="M25" s="474"/>
      <c r="N25" s="474"/>
      <c r="O25" s="474"/>
      <c r="P25" s="475"/>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row>
    <row r="26" spans="1:221" x14ac:dyDescent="0.2">
      <c r="P26" s="476"/>
      <c r="Q26" s="490"/>
      <c r="R26" s="521"/>
      <c r="S26" s="522"/>
      <c r="T26" s="510"/>
      <c r="U26" s="433"/>
      <c r="V26" s="52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row>
    <row r="27" spans="1:221" x14ac:dyDescent="0.2">
      <c r="A27" s="477" t="s">
        <v>78</v>
      </c>
      <c r="B27" s="478"/>
      <c r="C27" s="478"/>
      <c r="D27" s="460">
        <f>IF($C$15&lt;0,0,IF($C$15&gt;833000,833000,$C$15))</f>
        <v>0</v>
      </c>
      <c r="E27" s="461" t="s">
        <v>41</v>
      </c>
      <c r="F27" s="462" t="s">
        <v>8</v>
      </c>
      <c r="G27" s="479"/>
      <c r="H27" s="479"/>
      <c r="I27" s="479">
        <f>'Rider Rates'!$B$4</f>
        <v>5.9216E-3</v>
      </c>
      <c r="J27" s="479">
        <f t="shared" ref="J27:J48" si="0">SUM(G27:I27)</f>
        <v>5.9216E-3</v>
      </c>
      <c r="K27" s="464" t="s">
        <v>42</v>
      </c>
      <c r="L27" s="250"/>
      <c r="M27" s="250"/>
      <c r="N27" s="250">
        <f t="shared" ref="N27:N32" si="1">ROUND(D27*I27,2)</f>
        <v>0</v>
      </c>
      <c r="O27" s="250">
        <f t="shared" ref="O27:O49" si="2">SUM(L27:N27)</f>
        <v>0</v>
      </c>
      <c r="P27" s="458">
        <f>'Rider Rates'!$D$4</f>
        <v>45293</v>
      </c>
      <c r="Q27" s="490"/>
      <c r="R27" s="505"/>
      <c r="S27" s="522"/>
      <c r="T27" s="510"/>
      <c r="U27" s="433"/>
      <c r="V27" s="52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row>
    <row r="28" spans="1:221" x14ac:dyDescent="0.2">
      <c r="A28" s="477" t="s">
        <v>79</v>
      </c>
      <c r="B28" s="433"/>
      <c r="C28" s="433"/>
      <c r="D28" s="427">
        <f>IF($C$15&gt;833000,$C$15-833000,0)</f>
        <v>0</v>
      </c>
      <c r="E28" s="461" t="s">
        <v>41</v>
      </c>
      <c r="F28" s="462" t="s">
        <v>8</v>
      </c>
      <c r="G28" s="479"/>
      <c r="H28" s="479"/>
      <c r="I28" s="479">
        <f>'Rider Rates'!$B$5</f>
        <v>1.7560000000000001E-4</v>
      </c>
      <c r="J28" s="479">
        <f t="shared" si="0"/>
        <v>1.7560000000000001E-4</v>
      </c>
      <c r="K28" s="464" t="s">
        <v>42</v>
      </c>
      <c r="L28" s="250"/>
      <c r="M28" s="250"/>
      <c r="N28" s="250">
        <f t="shared" si="1"/>
        <v>0</v>
      </c>
      <c r="O28" s="250">
        <f t="shared" si="2"/>
        <v>0</v>
      </c>
      <c r="P28" s="458">
        <f>'Rider Rates'!$D$4</f>
        <v>45293</v>
      </c>
      <c r="Q28" s="490"/>
      <c r="R28" s="505"/>
      <c r="S28" s="522"/>
      <c r="T28" s="510"/>
      <c r="U28" s="433"/>
      <c r="V28" s="52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row>
    <row r="29" spans="1:221" x14ac:dyDescent="0.2">
      <c r="A29" s="477" t="s">
        <v>96</v>
      </c>
      <c r="B29" s="433"/>
      <c r="C29" s="433"/>
      <c r="D29" s="460">
        <f>IF('Customer Info'!$C$33=TRUE,0,IF($C$15&lt;0,0,IF($C$15&gt;2000,2000,$C$15)))</f>
        <v>0</v>
      </c>
      <c r="E29" s="461" t="s">
        <v>41</v>
      </c>
      <c r="F29" s="462" t="s">
        <v>8</v>
      </c>
      <c r="G29" s="479"/>
      <c r="H29" s="479"/>
      <c r="I29" s="480">
        <f>'Rider Rates'!$B$8</f>
        <v>4.6499999999999996E-3</v>
      </c>
      <c r="J29" s="480">
        <f t="shared" si="0"/>
        <v>4.6499999999999996E-3</v>
      </c>
      <c r="K29" s="464" t="s">
        <v>42</v>
      </c>
      <c r="L29" s="250"/>
      <c r="M29" s="250"/>
      <c r="N29" s="250">
        <f t="shared" si="1"/>
        <v>0</v>
      </c>
      <c r="O29" s="250">
        <f t="shared" si="2"/>
        <v>0</v>
      </c>
      <c r="P29" s="458">
        <f>'Rider Rates'!$D$7</f>
        <v>44531</v>
      </c>
      <c r="Q29" s="490"/>
      <c r="R29" s="505"/>
      <c r="S29" s="522"/>
      <c r="T29" s="510"/>
      <c r="U29" s="433"/>
      <c r="V29" s="52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row>
    <row r="30" spans="1:221" x14ac:dyDescent="0.2">
      <c r="A30" s="477" t="s">
        <v>97</v>
      </c>
      <c r="B30" s="433"/>
      <c r="C30" s="433"/>
      <c r="D30" s="460">
        <f>IF('Customer Info'!$C$33=TRUE,0,IF($C$15&lt;=2000,0,IF($C$15=0,0,IF($C$15-2000&gt;13000,13000,$C$15-2000))))</f>
        <v>0</v>
      </c>
      <c r="E30" s="461" t="s">
        <v>41</v>
      </c>
      <c r="F30" s="462" t="s">
        <v>8</v>
      </c>
      <c r="G30" s="479"/>
      <c r="H30" s="479"/>
      <c r="I30" s="480">
        <f>'Rider Rates'!$B$9</f>
        <v>4.1900000000000001E-3</v>
      </c>
      <c r="J30" s="480">
        <f t="shared" si="0"/>
        <v>4.1900000000000001E-3</v>
      </c>
      <c r="K30" s="464" t="s">
        <v>42</v>
      </c>
      <c r="L30" s="250"/>
      <c r="M30" s="250"/>
      <c r="N30" s="250">
        <f t="shared" si="1"/>
        <v>0</v>
      </c>
      <c r="O30" s="250">
        <f t="shared" si="2"/>
        <v>0</v>
      </c>
      <c r="P30" s="458">
        <f>'Rider Rates'!$D$7</f>
        <v>44531</v>
      </c>
      <c r="Q30" s="490"/>
      <c r="R30" s="505"/>
      <c r="S30" s="522"/>
      <c r="T30" s="510"/>
      <c r="U30" s="433"/>
      <c r="V30" s="52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row>
    <row r="31" spans="1:221" x14ac:dyDescent="0.2">
      <c r="A31" s="477" t="s">
        <v>98</v>
      </c>
      <c r="B31" s="433"/>
      <c r="C31" s="433"/>
      <c r="D31" s="460">
        <f>IF('Customer Info'!$C$33=TRUE,0,IF($C$15=0,0,IF($C$15-15000&gt;=0,$C$15-15000,0)))</f>
        <v>0</v>
      </c>
      <c r="E31" s="461" t="s">
        <v>41</v>
      </c>
      <c r="F31" s="462" t="s">
        <v>8</v>
      </c>
      <c r="G31" s="479"/>
      <c r="H31" s="479"/>
      <c r="I31" s="480">
        <f>'Rider Rates'!$B$10</f>
        <v>3.63E-3</v>
      </c>
      <c r="J31" s="480">
        <f t="shared" si="0"/>
        <v>3.63E-3</v>
      </c>
      <c r="K31" s="464" t="s">
        <v>42</v>
      </c>
      <c r="L31" s="250"/>
      <c r="M31" s="250"/>
      <c r="N31" s="250">
        <f t="shared" si="1"/>
        <v>0</v>
      </c>
      <c r="O31" s="250">
        <f t="shared" si="2"/>
        <v>0</v>
      </c>
      <c r="P31" s="458">
        <f>'Rider Rates'!$D$7</f>
        <v>44531</v>
      </c>
      <c r="Q31" s="490"/>
      <c r="R31" s="505"/>
      <c r="S31" s="522"/>
      <c r="T31" s="510"/>
      <c r="U31" s="433"/>
      <c r="V31" s="52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row>
    <row r="32" spans="1:221" x14ac:dyDescent="0.2">
      <c r="A32" s="432" t="s">
        <v>159</v>
      </c>
      <c r="B32" s="433"/>
      <c r="C32" s="433"/>
      <c r="D32" s="460">
        <f>IF($C$15&lt;0,0,$C$15)</f>
        <v>0</v>
      </c>
      <c r="E32" s="461" t="s">
        <v>41</v>
      </c>
      <c r="F32" s="462" t="s">
        <v>8</v>
      </c>
      <c r="G32" s="479"/>
      <c r="H32" s="479"/>
      <c r="I32" s="479">
        <f>'Rider Rates'!$B$16</f>
        <v>0</v>
      </c>
      <c r="J32" s="479">
        <f>SUM(G32:I32)</f>
        <v>0</v>
      </c>
      <c r="K32" s="464" t="s">
        <v>42</v>
      </c>
      <c r="L32" s="250"/>
      <c r="M32" s="250"/>
      <c r="N32" s="250">
        <f t="shared" si="1"/>
        <v>0</v>
      </c>
      <c r="O32" s="250">
        <f t="shared" si="2"/>
        <v>0</v>
      </c>
      <c r="P32" s="458">
        <f>'Rider Rates'!$D$16</f>
        <v>45197</v>
      </c>
      <c r="Q32" s="490"/>
      <c r="R32" s="505"/>
      <c r="S32" s="522"/>
      <c r="T32" s="510"/>
      <c r="U32" s="433"/>
      <c r="V32" s="52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row>
    <row r="33" spans="1:221" x14ac:dyDescent="0.2">
      <c r="A33" s="432" t="s">
        <v>245</v>
      </c>
      <c r="B33" s="433"/>
      <c r="C33" s="433"/>
      <c r="D33" s="428">
        <f>$N$23</f>
        <v>138.5</v>
      </c>
      <c r="E33" s="461" t="s">
        <v>121</v>
      </c>
      <c r="F33" s="462" t="s">
        <v>8</v>
      </c>
      <c r="G33" s="479"/>
      <c r="H33" s="479"/>
      <c r="I33" s="481">
        <f>'Rider Rates'!$B$18+'Rider Rates'!$E$18</f>
        <v>0</v>
      </c>
      <c r="J33" s="481">
        <f>SUM(G33:I33)</f>
        <v>0</v>
      </c>
      <c r="K33" s="464"/>
      <c r="L33" s="250"/>
      <c r="M33" s="250"/>
      <c r="N33" s="250">
        <f>ROUND($D$33*'Rider Rates'!$B$18,2)+ROUND($D$33*'Rider Rates'!$E$18,2)</f>
        <v>0</v>
      </c>
      <c r="O33" s="250">
        <f t="shared" si="2"/>
        <v>0</v>
      </c>
      <c r="P33" s="458">
        <f>MAX('Rider Rates'!$D$18,'Rider Rates'!$F$18)</f>
        <v>44531</v>
      </c>
      <c r="Q33" s="490"/>
      <c r="R33" s="505"/>
      <c r="S33" s="522"/>
      <c r="T33" s="510"/>
      <c r="U33" s="433"/>
      <c r="V33" s="52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row>
    <row r="34" spans="1:221" x14ac:dyDescent="0.2">
      <c r="A34" s="432" t="s">
        <v>194</v>
      </c>
      <c r="B34" s="433"/>
      <c r="C34" s="433"/>
      <c r="D34" s="460">
        <f>C15</f>
        <v>0</v>
      </c>
      <c r="E34" s="461" t="s">
        <v>41</v>
      </c>
      <c r="F34" s="462" t="s">
        <v>8</v>
      </c>
      <c r="G34" s="479">
        <f>'Rider Rates'!B24</f>
        <v>6.7849999999999994E-2</v>
      </c>
      <c r="H34" s="479"/>
      <c r="I34" s="479"/>
      <c r="J34" s="482">
        <f>SUM(G34:H34)</f>
        <v>6.7849999999999994E-2</v>
      </c>
      <c r="K34" s="464" t="s">
        <v>42</v>
      </c>
      <c r="L34" s="250">
        <f>ROUND(D34*G34,2)</f>
        <v>0</v>
      </c>
      <c r="M34" s="250"/>
      <c r="N34" s="250"/>
      <c r="O34" s="250">
        <f t="shared" si="2"/>
        <v>0</v>
      </c>
      <c r="P34" s="458">
        <f>'Rider Rates'!$D$22</f>
        <v>45444</v>
      </c>
      <c r="Q34" s="490"/>
      <c r="R34" s="505"/>
      <c r="S34" s="522"/>
      <c r="T34" s="510"/>
      <c r="U34" s="433"/>
      <c r="V34" s="52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row>
    <row r="35" spans="1:221" x14ac:dyDescent="0.2">
      <c r="A35" s="432" t="s">
        <v>164</v>
      </c>
      <c r="B35" s="433"/>
      <c r="C35" s="433"/>
      <c r="D35" s="460">
        <f>C16</f>
        <v>0</v>
      </c>
      <c r="E35" s="461" t="s">
        <v>41</v>
      </c>
      <c r="F35" s="462" t="s">
        <v>8</v>
      </c>
      <c r="G35" s="479">
        <f>'Rider Rates'!B45</f>
        <v>2.5335000000000002E-3</v>
      </c>
      <c r="H35" s="479"/>
      <c r="I35" s="479"/>
      <c r="J35" s="482">
        <f>SUM(G35:H35)</f>
        <v>2.5335000000000002E-3</v>
      </c>
      <c r="K35" s="464" t="s">
        <v>42</v>
      </c>
      <c r="L35" s="250">
        <f>ROUND(D35*G35,2)</f>
        <v>0</v>
      </c>
      <c r="M35" s="250"/>
      <c r="N35" s="250"/>
      <c r="O35" s="250">
        <f t="shared" si="2"/>
        <v>0</v>
      </c>
      <c r="P35" s="458">
        <f>'Rider Rates'!$D$38</f>
        <v>45444</v>
      </c>
      <c r="Q35" s="490"/>
      <c r="R35" s="505"/>
      <c r="S35" s="522"/>
      <c r="T35" s="510"/>
      <c r="U35" s="433"/>
      <c r="V35" s="52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row>
    <row r="36" spans="1:221" x14ac:dyDescent="0.2">
      <c r="A36" s="432" t="s">
        <v>227</v>
      </c>
      <c r="B36" s="433"/>
      <c r="C36" s="433"/>
      <c r="D36" s="460">
        <f>C17</f>
        <v>0</v>
      </c>
      <c r="E36" s="461" t="s">
        <v>41</v>
      </c>
      <c r="F36" s="454" t="s">
        <v>8</v>
      </c>
      <c r="G36" s="479">
        <f>'Rider Rates'!C45</f>
        <v>1.07E-3</v>
      </c>
      <c r="H36" s="479"/>
      <c r="I36" s="479"/>
      <c r="J36" s="482">
        <f>SUM(G36:H36)</f>
        <v>1.07E-3</v>
      </c>
      <c r="K36" s="464" t="s">
        <v>42</v>
      </c>
      <c r="L36" s="250">
        <f>ROUND(D36*G36,2)</f>
        <v>0</v>
      </c>
      <c r="M36" s="250"/>
      <c r="N36" s="250"/>
      <c r="O36" s="250">
        <f t="shared" si="2"/>
        <v>0</v>
      </c>
      <c r="P36" s="458">
        <f>'Rider Rates'!D39</f>
        <v>45444</v>
      </c>
      <c r="Q36" s="490"/>
      <c r="R36" s="505"/>
      <c r="S36" s="522"/>
      <c r="T36" s="510"/>
      <c r="U36" s="433"/>
      <c r="V36" s="52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row>
    <row r="37" spans="1:221" x14ac:dyDescent="0.2">
      <c r="A37" s="432" t="s">
        <v>201</v>
      </c>
      <c r="B37" s="433"/>
      <c r="C37" s="433"/>
      <c r="D37" s="460">
        <f>C16+C17</f>
        <v>0</v>
      </c>
      <c r="E37" s="461" t="s">
        <v>41</v>
      </c>
      <c r="F37" s="462" t="s">
        <v>8</v>
      </c>
      <c r="G37" s="479">
        <f>'Rider Rates'!$B$49</f>
        <v>-3.1569999999999998E-4</v>
      </c>
      <c r="H37" s="479"/>
      <c r="I37" s="479"/>
      <c r="J37" s="482">
        <f>SUM(G37:H37)</f>
        <v>-3.1569999999999998E-4</v>
      </c>
      <c r="K37" s="464" t="s">
        <v>42</v>
      </c>
      <c r="L37" s="250">
        <f>ROUND(D37*G37,2)</f>
        <v>0</v>
      </c>
      <c r="M37" s="250"/>
      <c r="N37" s="250"/>
      <c r="O37" s="250">
        <f t="shared" si="2"/>
        <v>0</v>
      </c>
      <c r="P37" s="458">
        <f>'Rider Rates'!$D$49</f>
        <v>45471</v>
      </c>
      <c r="Q37" s="490"/>
      <c r="R37" s="505"/>
      <c r="S37" s="522"/>
      <c r="T37" s="510"/>
      <c r="U37" s="433"/>
      <c r="V37" s="52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row>
    <row r="38" spans="1:221" x14ac:dyDescent="0.2">
      <c r="A38" s="483" t="s">
        <v>218</v>
      </c>
      <c r="B38" s="433"/>
      <c r="C38" s="433"/>
      <c r="D38" s="460">
        <f>IF($C$15&lt;0,0,IF($C$15&gt;833000,833000,$C$15))</f>
        <v>0</v>
      </c>
      <c r="E38" s="461" t="s">
        <v>41</v>
      </c>
      <c r="F38" s="462" t="s">
        <v>8</v>
      </c>
      <c r="G38" s="479"/>
      <c r="H38" s="479"/>
      <c r="I38" s="479">
        <f>'Rider Rates'!D53</f>
        <v>1.8006999999999999E-3</v>
      </c>
      <c r="J38" s="479">
        <f>SUM(G38:I38)</f>
        <v>1.8006999999999999E-3</v>
      </c>
      <c r="K38" s="464" t="s">
        <v>42</v>
      </c>
      <c r="L38" s="250"/>
      <c r="M38" s="250"/>
      <c r="N38" s="250">
        <f>D38*J38</f>
        <v>0</v>
      </c>
      <c r="O38" s="250">
        <f t="shared" si="2"/>
        <v>0</v>
      </c>
      <c r="P38" s="458">
        <f>'Rider Rates'!E53</f>
        <v>45474</v>
      </c>
      <c r="Q38" s="490"/>
      <c r="R38" s="505"/>
      <c r="S38" s="522"/>
      <c r="T38" s="510"/>
      <c r="U38" s="433"/>
      <c r="V38" s="52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c r="GD38" s="433"/>
      <c r="GE38" s="433"/>
      <c r="GF38" s="433"/>
      <c r="GG38" s="433"/>
      <c r="GH38" s="433"/>
      <c r="GI38" s="433"/>
      <c r="GJ38" s="433"/>
      <c r="GK38" s="433"/>
      <c r="GL38" s="433"/>
      <c r="GM38" s="433"/>
      <c r="GN38" s="433"/>
      <c r="GO38" s="433"/>
      <c r="GP38" s="433"/>
      <c r="GQ38" s="433"/>
      <c r="GR38" s="433"/>
      <c r="GS38" s="433"/>
      <c r="GT38" s="433"/>
      <c r="GU38" s="433"/>
      <c r="GV38" s="433"/>
      <c r="GW38" s="433"/>
      <c r="GX38" s="433"/>
      <c r="GY38" s="433"/>
      <c r="GZ38" s="433"/>
      <c r="HA38" s="433"/>
      <c r="HB38" s="433"/>
      <c r="HC38" s="433"/>
      <c r="HD38" s="433"/>
      <c r="HE38" s="433"/>
      <c r="HF38" s="433"/>
      <c r="HG38" s="433"/>
      <c r="HH38" s="433"/>
      <c r="HI38" s="433"/>
      <c r="HJ38" s="433"/>
      <c r="HK38" s="433"/>
      <c r="HL38" s="433"/>
      <c r="HM38" s="433"/>
    </row>
    <row r="39" spans="1:221" x14ac:dyDescent="0.2">
      <c r="A39" s="432" t="s">
        <v>197</v>
      </c>
      <c r="B39" s="433"/>
      <c r="C39" s="433"/>
      <c r="D39" s="460">
        <f>IF($C$15&lt;0,0,$C$15)</f>
        <v>0</v>
      </c>
      <c r="E39" s="484" t="s">
        <v>41</v>
      </c>
      <c r="F39" s="462" t="s">
        <v>8</v>
      </c>
      <c r="G39" s="479"/>
      <c r="H39" s="479">
        <f>'Rider Rates'!$B$60</f>
        <v>2.3467399999999999E-2</v>
      </c>
      <c r="I39" s="479"/>
      <c r="J39" s="479">
        <f>SUM(G39:I39)</f>
        <v>2.3467399999999999E-2</v>
      </c>
      <c r="K39" s="464" t="s">
        <v>42</v>
      </c>
      <c r="L39" s="250"/>
      <c r="M39" s="250">
        <f>ROUND(D39*H39,2)</f>
        <v>0</v>
      </c>
      <c r="N39" s="485"/>
      <c r="O39" s="250">
        <f t="shared" si="2"/>
        <v>0</v>
      </c>
      <c r="P39" s="458">
        <f>'Rider Rates'!$D$60</f>
        <v>45383</v>
      </c>
      <c r="Q39" s="490"/>
      <c r="R39" s="505"/>
      <c r="S39" s="522"/>
      <c r="T39" s="510"/>
      <c r="U39" s="433"/>
      <c r="V39" s="52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c r="GD39" s="433"/>
      <c r="GE39" s="433"/>
      <c r="GF39" s="433"/>
      <c r="GG39" s="433"/>
      <c r="GH39" s="433"/>
      <c r="GI39" s="433"/>
      <c r="GJ39" s="433"/>
      <c r="GK39" s="433"/>
      <c r="GL39" s="433"/>
      <c r="GM39" s="433"/>
      <c r="GN39" s="433"/>
      <c r="GO39" s="433"/>
      <c r="GP39" s="433"/>
      <c r="GQ39" s="433"/>
      <c r="GR39" s="433"/>
      <c r="GS39" s="433"/>
      <c r="GT39" s="433"/>
      <c r="GU39" s="433"/>
      <c r="GV39" s="433"/>
      <c r="GW39" s="433"/>
      <c r="GX39" s="433"/>
      <c r="GY39" s="433"/>
      <c r="GZ39" s="433"/>
      <c r="HA39" s="433"/>
      <c r="HB39" s="433"/>
      <c r="HC39" s="433"/>
      <c r="HD39" s="433"/>
      <c r="HE39" s="433"/>
      <c r="HF39" s="433"/>
      <c r="HG39" s="433"/>
      <c r="HH39" s="433"/>
      <c r="HI39" s="433"/>
      <c r="HJ39" s="433"/>
      <c r="HK39" s="433"/>
      <c r="HL39" s="433"/>
      <c r="HM39" s="433"/>
    </row>
    <row r="40" spans="1:221" x14ac:dyDescent="0.2">
      <c r="A40" s="477" t="s">
        <v>95</v>
      </c>
      <c r="B40" s="433"/>
      <c r="C40" s="433"/>
      <c r="D40" s="460">
        <f>IF('Customer Info'!C35=TRUE,0,IF($C$15&lt;0,0,$C$15))</f>
        <v>0</v>
      </c>
      <c r="E40" s="461" t="s">
        <v>41</v>
      </c>
      <c r="F40" s="462" t="s">
        <v>8</v>
      </c>
      <c r="G40" s="479"/>
      <c r="H40" s="479"/>
      <c r="I40" s="479">
        <f>'Rider Rates'!$B$74+'Rider Rates'!$C$74</f>
        <v>0</v>
      </c>
      <c r="J40" s="479">
        <f t="shared" si="0"/>
        <v>0</v>
      </c>
      <c r="K40" s="464" t="s">
        <v>42</v>
      </c>
      <c r="L40" s="250"/>
      <c r="M40" s="250"/>
      <c r="N40" s="250">
        <f>ROUND($D$40*'Rider Rates'!$B$74,2)+ROUND($D$40*'Rider Rates'!$C$74,2)</f>
        <v>0</v>
      </c>
      <c r="O40" s="250">
        <f t="shared" si="2"/>
        <v>0</v>
      </c>
      <c r="P40" s="458">
        <f>'Rider Rates'!$D$74</f>
        <v>44531</v>
      </c>
      <c r="Q40" s="490"/>
      <c r="R40" s="505"/>
      <c r="S40" s="522"/>
      <c r="T40" s="510"/>
      <c r="U40" s="433"/>
      <c r="V40" s="52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row>
    <row r="41" spans="1:221" x14ac:dyDescent="0.2">
      <c r="A41" s="477" t="s">
        <v>95</v>
      </c>
      <c r="B41" s="433"/>
      <c r="C41" s="433"/>
      <c r="D41" s="460"/>
      <c r="E41" s="461" t="s">
        <v>114</v>
      </c>
      <c r="F41" s="462"/>
      <c r="G41" s="479"/>
      <c r="H41" s="479"/>
      <c r="I41" s="486">
        <f>'Rider Rates'!$B$81</f>
        <v>0</v>
      </c>
      <c r="J41" s="486">
        <f>IF('Customer Info'!C35=TRUE,0,SUM(G41:I41))</f>
        <v>0</v>
      </c>
      <c r="K41" s="464"/>
      <c r="L41" s="250"/>
      <c r="M41" s="250"/>
      <c r="N41" s="250">
        <f>J41</f>
        <v>0</v>
      </c>
      <c r="O41" s="250">
        <f>SUM(L41:N41)</f>
        <v>0</v>
      </c>
      <c r="P41" s="458">
        <v>44531</v>
      </c>
      <c r="Q41" s="490"/>
      <c r="R41" s="505"/>
      <c r="S41" s="522"/>
      <c r="T41" s="510"/>
      <c r="U41" s="433"/>
      <c r="V41" s="52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row>
    <row r="42" spans="1:221" x14ac:dyDescent="0.2">
      <c r="A42" s="477" t="s">
        <v>80</v>
      </c>
      <c r="B42" s="433"/>
      <c r="C42" s="433"/>
      <c r="D42" s="428">
        <f>$N$23</f>
        <v>138.5</v>
      </c>
      <c r="E42" s="461" t="s">
        <v>121</v>
      </c>
      <c r="F42" s="462" t="s">
        <v>8</v>
      </c>
      <c r="G42" s="487"/>
      <c r="H42" s="452"/>
      <c r="I42" s="488">
        <f>'Rider Rates'!$B$89</f>
        <v>2.9347000000000002E-2</v>
      </c>
      <c r="J42" s="488">
        <f t="shared" si="0"/>
        <v>2.9347000000000002E-2</v>
      </c>
      <c r="K42" s="464"/>
      <c r="L42" s="250"/>
      <c r="M42" s="250"/>
      <c r="N42" s="250">
        <f>ROUND(D42*I42,2)</f>
        <v>4.0599999999999996</v>
      </c>
      <c r="O42" s="250">
        <f t="shared" si="2"/>
        <v>4.0599999999999996</v>
      </c>
      <c r="P42" s="458">
        <f>'Rider Rates'!$D$89</f>
        <v>45383</v>
      </c>
      <c r="Q42" s="490"/>
      <c r="R42" s="505"/>
      <c r="S42" s="522"/>
      <c r="T42" s="510"/>
      <c r="U42" s="433"/>
      <c r="V42" s="52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row>
    <row r="43" spans="1:221" x14ac:dyDescent="0.2">
      <c r="A43" s="477" t="s">
        <v>81</v>
      </c>
      <c r="B43" s="433"/>
      <c r="C43" s="433"/>
      <c r="D43" s="428">
        <f>$N$23</f>
        <v>138.5</v>
      </c>
      <c r="E43" s="461" t="s">
        <v>121</v>
      </c>
      <c r="F43" s="462" t="s">
        <v>8</v>
      </c>
      <c r="G43" s="489"/>
      <c r="H43" s="452"/>
      <c r="I43" s="488">
        <f>'Rider Rates'!$B$91</f>
        <v>6.6985699999999995E-2</v>
      </c>
      <c r="J43" s="488">
        <f t="shared" si="0"/>
        <v>6.6985699999999995E-2</v>
      </c>
      <c r="K43" s="464"/>
      <c r="L43" s="250"/>
      <c r="M43" s="250"/>
      <c r="N43" s="250">
        <f>ROUND(D43*I43,2)</f>
        <v>9.2799999999999994</v>
      </c>
      <c r="O43" s="250">
        <f t="shared" si="2"/>
        <v>9.2799999999999994</v>
      </c>
      <c r="P43" s="458">
        <f>'Rider Rates'!$D$91</f>
        <v>45167</v>
      </c>
      <c r="Q43" s="490"/>
      <c r="R43" s="505"/>
      <c r="S43" s="522"/>
      <c r="T43" s="510"/>
      <c r="U43" s="433"/>
      <c r="V43" s="52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row>
    <row r="44" spans="1:221" x14ac:dyDescent="0.2">
      <c r="A44" s="432" t="s">
        <v>214</v>
      </c>
      <c r="B44" s="433"/>
      <c r="C44" s="433"/>
      <c r="D44" s="428"/>
      <c r="E44" s="484" t="s">
        <v>114</v>
      </c>
      <c r="F44" s="490"/>
      <c r="G44" s="489"/>
      <c r="H44" s="452"/>
      <c r="I44" s="486">
        <f>'Rider Rates'!$B$95</f>
        <v>11.97</v>
      </c>
      <c r="J44" s="486">
        <f t="shared" si="0"/>
        <v>11.97</v>
      </c>
      <c r="K44" s="464"/>
      <c r="L44" s="250"/>
      <c r="M44" s="250"/>
      <c r="N44" s="250">
        <f>I44</f>
        <v>11.97</v>
      </c>
      <c r="O44" s="250">
        <f t="shared" si="2"/>
        <v>11.97</v>
      </c>
      <c r="P44" s="458">
        <f>'Rider Rates'!$D$95</f>
        <v>45442</v>
      </c>
      <c r="Q44" s="490"/>
      <c r="R44" s="505"/>
      <c r="S44" s="522"/>
      <c r="T44" s="510"/>
      <c r="U44" s="433"/>
      <c r="V44" s="52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row>
    <row r="45" spans="1:221" x14ac:dyDescent="0.2">
      <c r="A45" s="432" t="s">
        <v>247</v>
      </c>
      <c r="B45" s="433"/>
      <c r="C45" s="433"/>
      <c r="D45" s="460">
        <f>IF($C$15&lt;0,0,$C$15)</f>
        <v>0</v>
      </c>
      <c r="E45" s="461" t="s">
        <v>41</v>
      </c>
      <c r="F45" s="462" t="s">
        <v>8</v>
      </c>
      <c r="G45" s="479"/>
      <c r="H45" s="479"/>
      <c r="I45" s="479"/>
      <c r="J45" s="479">
        <f>'Rider Rates'!$B$99</f>
        <v>0</v>
      </c>
      <c r="K45" s="464" t="s">
        <v>42</v>
      </c>
      <c r="L45" s="250"/>
      <c r="M45" s="250"/>
      <c r="N45" s="250"/>
      <c r="O45" s="250">
        <f>ROUND($D45*('Rider Rates'!B$99),2)</f>
        <v>0</v>
      </c>
      <c r="P45" s="458">
        <f>'Rider Rates'!$D$99</f>
        <v>44531</v>
      </c>
      <c r="Q45" s="490"/>
      <c r="R45" s="505"/>
      <c r="S45" s="522"/>
      <c r="T45" s="510"/>
      <c r="U45" s="433"/>
      <c r="V45" s="52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row>
    <row r="46" spans="1:221" x14ac:dyDescent="0.2">
      <c r="A46" s="477" t="s">
        <v>156</v>
      </c>
      <c r="B46" s="433"/>
      <c r="C46" s="433"/>
      <c r="D46" s="428">
        <f>$N$23</f>
        <v>138.5</v>
      </c>
      <c r="E46" s="461" t="s">
        <v>121</v>
      </c>
      <c r="F46" s="462" t="s">
        <v>8</v>
      </c>
      <c r="G46" s="489"/>
      <c r="H46" s="452"/>
      <c r="I46" s="488">
        <f>'Rider Rates'!$B$109</f>
        <v>0.211176</v>
      </c>
      <c r="J46" s="488">
        <f t="shared" si="0"/>
        <v>0.211176</v>
      </c>
      <c r="K46" s="464"/>
      <c r="L46" s="250"/>
      <c r="M46" s="250"/>
      <c r="N46" s="250">
        <f>ROUND(D46*I46,2)</f>
        <v>29.25</v>
      </c>
      <c r="O46" s="250">
        <f t="shared" si="2"/>
        <v>29.25</v>
      </c>
      <c r="P46" s="458">
        <f>'Rider Rates'!$D$109</f>
        <v>45532</v>
      </c>
      <c r="Q46" s="490"/>
      <c r="R46" s="505"/>
      <c r="S46" s="522"/>
      <c r="T46" s="510"/>
      <c r="U46" s="433"/>
      <c r="V46" s="52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row>
    <row r="47" spans="1:221" x14ac:dyDescent="0.2">
      <c r="A47" s="432" t="s">
        <v>217</v>
      </c>
      <c r="B47" s="433"/>
      <c r="C47" s="433"/>
      <c r="D47" s="428"/>
      <c r="E47" s="484" t="s">
        <v>114</v>
      </c>
      <c r="F47" s="490"/>
      <c r="G47" s="489"/>
      <c r="H47" s="452"/>
      <c r="I47" s="486">
        <f>'Rider Rates'!$B$113</f>
        <v>0</v>
      </c>
      <c r="J47" s="486">
        <f t="shared" si="0"/>
        <v>0</v>
      </c>
      <c r="K47" s="464"/>
      <c r="L47" s="250"/>
      <c r="M47" s="250"/>
      <c r="N47" s="250">
        <f>I47</f>
        <v>0</v>
      </c>
      <c r="O47" s="250">
        <f t="shared" si="2"/>
        <v>0</v>
      </c>
      <c r="P47" s="458">
        <f>'Rider Rates'!$D$113</f>
        <v>44894</v>
      </c>
      <c r="Q47" s="490"/>
      <c r="R47" s="505"/>
      <c r="S47" s="522"/>
      <c r="T47" s="510"/>
      <c r="U47" s="433"/>
      <c r="V47" s="52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row>
    <row r="48" spans="1:221" x14ac:dyDescent="0.2">
      <c r="A48" s="432" t="s">
        <v>225</v>
      </c>
      <c r="B48" s="433"/>
      <c r="C48" s="433"/>
      <c r="D48" s="428"/>
      <c r="E48" s="484" t="s">
        <v>114</v>
      </c>
      <c r="F48" s="490"/>
      <c r="G48" s="489"/>
      <c r="H48" s="452"/>
      <c r="I48" s="491">
        <f>'Rider Rates'!B126</f>
        <v>5.83</v>
      </c>
      <c r="J48" s="486">
        <f t="shared" si="0"/>
        <v>5.83</v>
      </c>
      <c r="K48" s="464"/>
      <c r="L48" s="250"/>
      <c r="M48" s="250"/>
      <c r="N48" s="492">
        <f>I48</f>
        <v>5.83</v>
      </c>
      <c r="O48" s="250">
        <f t="shared" si="2"/>
        <v>5.83</v>
      </c>
      <c r="P48" s="458">
        <f>'Rider Rates'!D126</f>
        <v>45226</v>
      </c>
      <c r="Q48" s="490"/>
      <c r="R48" s="505"/>
      <c r="S48" s="522"/>
      <c r="T48" s="510"/>
      <c r="U48" s="433"/>
      <c r="V48" s="52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row>
    <row r="49" spans="1:236" x14ac:dyDescent="0.2">
      <c r="A49" s="477" t="s">
        <v>157</v>
      </c>
      <c r="B49" s="433"/>
      <c r="C49" s="433"/>
      <c r="D49" s="460">
        <f>C16+C17</f>
        <v>0</v>
      </c>
      <c r="E49" s="461" t="s">
        <v>41</v>
      </c>
      <c r="F49" s="462" t="s">
        <v>8</v>
      </c>
      <c r="G49" s="479">
        <f>'Rider Rates'!$B$117</f>
        <v>3.7618E-3</v>
      </c>
      <c r="H49" s="479"/>
      <c r="I49" s="488"/>
      <c r="J49" s="482">
        <f>SUM(G49:H49)</f>
        <v>3.7618E-3</v>
      </c>
      <c r="K49" s="464" t="s">
        <v>42</v>
      </c>
      <c r="L49" s="250">
        <f>ROUND(D49*G49,2)</f>
        <v>0</v>
      </c>
      <c r="M49" s="250"/>
      <c r="N49" s="250"/>
      <c r="O49" s="250">
        <f t="shared" si="2"/>
        <v>0</v>
      </c>
      <c r="P49" s="458">
        <f>'Rider Rates'!$D$116</f>
        <v>44531</v>
      </c>
      <c r="Q49" s="490"/>
      <c r="R49" s="505"/>
      <c r="S49" s="522"/>
      <c r="T49" s="510"/>
      <c r="U49" s="433"/>
      <c r="V49" s="52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row>
    <row r="50" spans="1:236" x14ac:dyDescent="0.2">
      <c r="A50" s="432" t="s">
        <v>216</v>
      </c>
      <c r="B50" s="433"/>
      <c r="C50" s="433"/>
      <c r="D50" s="460">
        <f>IF($C$15&lt;1,0,$C$15)</f>
        <v>0</v>
      </c>
      <c r="E50" s="461" t="s">
        <v>41</v>
      </c>
      <c r="F50" s="454" t="s">
        <v>8</v>
      </c>
      <c r="G50" s="493"/>
      <c r="H50" s="493"/>
      <c r="I50" s="494">
        <f>'Rider Rates'!B122</f>
        <v>-6.2E-4</v>
      </c>
      <c r="J50" s="494">
        <f>SUM(G50:I50)</f>
        <v>-6.2E-4</v>
      </c>
      <c r="K50" s="464" t="s">
        <v>42</v>
      </c>
      <c r="L50" s="250"/>
      <c r="M50" s="250"/>
      <c r="N50" s="250">
        <f>D50*J50</f>
        <v>0</v>
      </c>
      <c r="O50" s="250">
        <f>SUM(L50:N50)</f>
        <v>0</v>
      </c>
      <c r="P50" s="458">
        <f>'Rider Rates'!D122</f>
        <v>44531</v>
      </c>
      <c r="Q50" s="490"/>
      <c r="R50" s="505"/>
      <c r="S50" s="522"/>
      <c r="T50" s="510"/>
      <c r="U50" s="433"/>
      <c r="V50" s="52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row>
    <row r="51" spans="1:236" x14ac:dyDescent="0.2">
      <c r="A51" s="433" t="s">
        <v>241</v>
      </c>
      <c r="B51" s="433"/>
      <c r="C51" s="433"/>
      <c r="D51" s="460">
        <f>IF(C15&lt;0,0,IF(C15&gt;833000,833000,C15))</f>
        <v>0</v>
      </c>
      <c r="E51" s="461" t="s">
        <v>41</v>
      </c>
      <c r="F51" s="462" t="s">
        <v>8</v>
      </c>
      <c r="G51" s="495"/>
      <c r="H51" s="495"/>
      <c r="I51" s="495">
        <f>'Rider Rates'!$B$130</f>
        <v>2.9050000000000001E-4</v>
      </c>
      <c r="J51" s="495">
        <f>SUM(G51:I51)</f>
        <v>2.9050000000000001E-4</v>
      </c>
      <c r="K51" s="464" t="s">
        <v>42</v>
      </c>
      <c r="L51" s="496"/>
      <c r="M51" s="496"/>
      <c r="N51" s="496">
        <f>IF(D51*J51&gt;'Rider Rates'!$C$130,'Rider Rates'!$C$130,D51*J51)</f>
        <v>0</v>
      </c>
      <c r="O51" s="496">
        <f>SUM(L51:N51)</f>
        <v>0</v>
      </c>
      <c r="P51" s="497">
        <f>'Rider Rates'!$E$130</f>
        <v>45292</v>
      </c>
      <c r="Q51" s="490"/>
      <c r="R51" s="505"/>
      <c r="S51" s="522"/>
      <c r="T51" s="510"/>
      <c r="U51" s="433"/>
      <c r="V51" s="52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row>
    <row r="52" spans="1:236" x14ac:dyDescent="0.2">
      <c r="A52" s="433" t="s">
        <v>242</v>
      </c>
      <c r="B52" s="433"/>
      <c r="C52" s="433"/>
      <c r="D52" s="427">
        <f>IF(C15&gt;833000,C15-833000,0)</f>
        <v>0</v>
      </c>
      <c r="E52" s="461" t="s">
        <v>41</v>
      </c>
      <c r="F52" s="462" t="s">
        <v>8</v>
      </c>
      <c r="G52" s="495"/>
      <c r="H52" s="495"/>
      <c r="I52" s="495">
        <f>'Rider Rates'!$B$131</f>
        <v>0</v>
      </c>
      <c r="J52" s="495">
        <f>SUM(G52:I52)</f>
        <v>0</v>
      </c>
      <c r="K52" s="464" t="s">
        <v>42</v>
      </c>
      <c r="L52" s="496"/>
      <c r="M52" s="496"/>
      <c r="N52" s="496">
        <f>D52*J52</f>
        <v>0</v>
      </c>
      <c r="O52" s="496">
        <f>SUM(L52:N52)</f>
        <v>0</v>
      </c>
      <c r="P52" s="497">
        <f>'Rider Rates'!$E$131</f>
        <v>44927</v>
      </c>
      <c r="Q52" s="490"/>
      <c r="R52" s="505"/>
      <c r="S52" s="522"/>
      <c r="T52" s="510"/>
      <c r="U52" s="433"/>
      <c r="V52" s="52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row>
    <row r="53" spans="1:236" x14ac:dyDescent="0.2">
      <c r="A53" s="483" t="s">
        <v>250</v>
      </c>
      <c r="B53" s="433"/>
      <c r="C53" s="433"/>
      <c r="D53" s="460">
        <f>C15</f>
        <v>0</v>
      </c>
      <c r="E53" s="461" t="s">
        <v>41</v>
      </c>
      <c r="F53" s="454" t="s">
        <v>8</v>
      </c>
      <c r="G53" s="479"/>
      <c r="H53" s="479"/>
      <c r="I53" s="479">
        <f>'Rider Rates'!$B$135</f>
        <v>0</v>
      </c>
      <c r="J53" s="482">
        <f>SUM(G53:I53)</f>
        <v>0</v>
      </c>
      <c r="K53" s="464" t="s">
        <v>42</v>
      </c>
      <c r="L53" s="250"/>
      <c r="M53" s="250"/>
      <c r="N53" s="250">
        <f>D53*J53</f>
        <v>0</v>
      </c>
      <c r="O53" s="250">
        <f>SUM(L53:N53)</f>
        <v>0</v>
      </c>
      <c r="P53" s="458">
        <f>'Rider Rates'!$D$135</f>
        <v>44531</v>
      </c>
      <c r="Q53" s="490"/>
      <c r="R53" s="505"/>
      <c r="S53" s="522"/>
      <c r="T53" s="510"/>
      <c r="U53" s="433"/>
      <c r="V53" s="52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row>
    <row r="54" spans="1:236" x14ac:dyDescent="0.2">
      <c r="A54" s="483" t="s">
        <v>249</v>
      </c>
      <c r="B54" s="433"/>
      <c r="C54" s="433"/>
      <c r="D54" s="460"/>
      <c r="E54" s="461" t="s">
        <v>114</v>
      </c>
      <c r="F54" s="462" t="s">
        <v>8</v>
      </c>
      <c r="G54" s="463"/>
      <c r="H54" s="463"/>
      <c r="I54" s="463">
        <f>'Rider Rates'!$B$142</f>
        <v>0</v>
      </c>
      <c r="J54" s="463">
        <f>SUM(G54:I54)</f>
        <v>0</v>
      </c>
      <c r="K54" s="464"/>
      <c r="L54" s="457"/>
      <c r="M54" s="457"/>
      <c r="N54" s="457">
        <f>J54</f>
        <v>0</v>
      </c>
      <c r="O54" s="457">
        <f>SUM(L54:N54)</f>
        <v>0</v>
      </c>
      <c r="P54" s="497">
        <f>'Rider Rates'!$D$142</f>
        <v>44531</v>
      </c>
      <c r="Q54" s="490"/>
      <c r="R54" s="505"/>
      <c r="S54" s="522"/>
      <c r="T54" s="510"/>
      <c r="U54" s="433"/>
      <c r="V54" s="52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row>
    <row r="55" spans="1:236" x14ac:dyDescent="0.2">
      <c r="A55" s="483" t="s">
        <v>251</v>
      </c>
      <c r="B55" s="433"/>
      <c r="C55" s="433"/>
      <c r="D55" s="460"/>
      <c r="E55" s="461"/>
      <c r="F55" s="462"/>
      <c r="G55" s="463"/>
      <c r="H55" s="463"/>
      <c r="I55" s="463"/>
      <c r="J55" s="463"/>
      <c r="K55" s="464"/>
      <c r="L55" s="457"/>
      <c r="M55" s="457"/>
      <c r="N55" s="457"/>
      <c r="O55" s="457"/>
      <c r="P55" s="497"/>
      <c r="Q55" s="490"/>
      <c r="R55" s="505"/>
      <c r="S55" s="522"/>
      <c r="T55" s="510"/>
      <c r="U55" s="433"/>
      <c r="V55" s="52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row>
    <row r="56" spans="1:236" x14ac:dyDescent="0.2">
      <c r="A56" s="498" t="s">
        <v>70</v>
      </c>
      <c r="B56" s="472"/>
      <c r="C56" s="472"/>
      <c r="D56" s="499"/>
      <c r="E56" s="500"/>
      <c r="F56" s="501"/>
      <c r="G56" s="501"/>
      <c r="H56" s="501"/>
      <c r="I56" s="501"/>
      <c r="J56" s="501"/>
      <c r="K56" s="502"/>
      <c r="L56" s="503">
        <f>SUM(L27:L55)</f>
        <v>0</v>
      </c>
      <c r="M56" s="503">
        <f>SUM(M27:M55)</f>
        <v>0</v>
      </c>
      <c r="N56" s="503">
        <f>SUM(N27:N55)</f>
        <v>60.39</v>
      </c>
      <c r="O56" s="503">
        <f>SUM(O27:O55)</f>
        <v>60.39</v>
      </c>
      <c r="P56" s="504"/>
      <c r="Q56" s="490"/>
      <c r="R56" s="505"/>
      <c r="S56" s="522"/>
      <c r="T56" s="510"/>
      <c r="U56" s="433"/>
      <c r="V56" s="52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row>
    <row r="57" spans="1:236" x14ac:dyDescent="0.2">
      <c r="A57" s="433"/>
      <c r="B57" s="433"/>
      <c r="C57" s="433"/>
      <c r="D57" s="460"/>
      <c r="E57" s="484"/>
      <c r="F57" s="490"/>
      <c r="G57" s="490"/>
      <c r="H57" s="490"/>
      <c r="I57" s="490"/>
      <c r="J57" s="505"/>
      <c r="K57" s="464"/>
      <c r="L57" s="490"/>
      <c r="M57" s="490"/>
      <c r="N57" s="490"/>
      <c r="O57" s="490"/>
      <c r="P57" s="506"/>
      <c r="Q57" s="490"/>
      <c r="R57" s="505"/>
      <c r="S57" s="522"/>
      <c r="T57" s="510"/>
      <c r="U57" s="433"/>
      <c r="V57" s="52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row>
    <row r="58" spans="1:236" x14ac:dyDescent="0.2">
      <c r="A58" s="507" t="s">
        <v>93</v>
      </c>
      <c r="B58" s="442"/>
      <c r="C58" s="442"/>
      <c r="D58" s="442"/>
      <c r="E58" s="442"/>
      <c r="F58" s="442"/>
      <c r="G58" s="442"/>
      <c r="H58" s="442"/>
      <c r="I58" s="442"/>
      <c r="J58" s="442"/>
      <c r="K58" s="442"/>
      <c r="L58" s="508">
        <f>L23+L56</f>
        <v>0</v>
      </c>
      <c r="M58" s="508">
        <f>M23+M56</f>
        <v>0</v>
      </c>
      <c r="N58" s="508">
        <f>N23+N56</f>
        <v>198.89</v>
      </c>
      <c r="O58" s="509">
        <f>O23+O56</f>
        <v>198.89</v>
      </c>
      <c r="P58" s="509"/>
      <c r="Q58" s="490"/>
      <c r="R58" s="524"/>
      <c r="S58" s="522"/>
      <c r="T58" s="510"/>
      <c r="U58" s="433"/>
      <c r="V58" s="522"/>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row>
    <row r="59" spans="1:236" x14ac:dyDescent="0.2">
      <c r="A59" s="433"/>
      <c r="B59" s="433"/>
      <c r="C59" s="433"/>
      <c r="D59" s="433"/>
      <c r="E59" s="433"/>
      <c r="F59" s="433"/>
      <c r="G59" s="433"/>
      <c r="H59" s="433"/>
      <c r="I59" s="433"/>
      <c r="J59" s="433"/>
      <c r="K59" s="433"/>
      <c r="L59" s="433"/>
      <c r="M59" s="433"/>
      <c r="Q59" s="473"/>
      <c r="R59" s="473"/>
      <c r="S59" s="473"/>
      <c r="T59" s="525"/>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row>
    <row r="60" spans="1:236" x14ac:dyDescent="0.2">
      <c r="A60" s="433"/>
      <c r="B60" s="433"/>
      <c r="C60" s="433"/>
      <c r="D60" s="433"/>
      <c r="E60" s="433"/>
      <c r="F60" s="433"/>
      <c r="G60" s="433"/>
      <c r="H60" s="433"/>
      <c r="I60" s="433"/>
      <c r="J60" s="433"/>
      <c r="K60" s="433"/>
      <c r="L60" s="433"/>
      <c r="M60" s="433"/>
      <c r="Q60" s="473"/>
      <c r="R60" s="473"/>
      <c r="S60" s="473"/>
      <c r="T60" s="525"/>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row>
    <row r="61" spans="1:236" x14ac:dyDescent="0.2">
      <c r="A61" s="473" t="s">
        <v>92</v>
      </c>
      <c r="B61" s="433"/>
      <c r="C61" s="433"/>
      <c r="D61" s="433"/>
      <c r="E61" s="433"/>
      <c r="F61" s="433"/>
      <c r="G61" s="433"/>
      <c r="H61" s="433"/>
      <c r="I61" s="433"/>
      <c r="J61" s="433"/>
      <c r="K61" s="433"/>
      <c r="L61" s="433"/>
      <c r="M61" s="433"/>
      <c r="N61" s="433"/>
      <c r="O61" s="510">
        <f>O21+O56</f>
        <v>198.89</v>
      </c>
      <c r="Q61" s="473"/>
      <c r="R61" s="473"/>
      <c r="S61" s="473"/>
      <c r="T61" s="525"/>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row>
    <row r="62" spans="1:236" x14ac:dyDescent="0.2">
      <c r="A62" s="473" t="s">
        <v>15</v>
      </c>
      <c r="B62" s="473"/>
      <c r="C62" s="473"/>
      <c r="D62" s="473"/>
      <c r="E62" s="473"/>
      <c r="F62" s="473"/>
      <c r="G62" s="473"/>
      <c r="H62" s="473"/>
      <c r="I62" s="433"/>
      <c r="J62" s="433"/>
      <c r="K62" s="433"/>
      <c r="L62" s="433"/>
      <c r="M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row>
    <row r="63" spans="1:236" x14ac:dyDescent="0.2">
      <c r="A63" s="472" t="s">
        <v>116</v>
      </c>
      <c r="O63" s="511">
        <f>IF($D$17&lt;0,O58,IF(O58&gt;O61,O58,O61))</f>
        <v>198.89</v>
      </c>
      <c r="P63" s="475"/>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row>
    <row r="64" spans="1:236" ht="15" customHeight="1" x14ac:dyDescent="0.2">
      <c r="A64" s="472"/>
      <c r="O64" s="511"/>
      <c r="P64" s="475"/>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row>
    <row r="65" spans="1:222" x14ac:dyDescent="0.2">
      <c r="A65" s="472"/>
      <c r="B65" s="473"/>
      <c r="C65" s="473"/>
      <c r="D65" s="473"/>
      <c r="E65" s="473"/>
      <c r="F65" s="473"/>
      <c r="G65" s="473"/>
      <c r="H65" s="473"/>
      <c r="I65" s="473" t="s">
        <v>120</v>
      </c>
      <c r="J65" s="473"/>
      <c r="K65" s="473"/>
      <c r="L65" s="512"/>
      <c r="M65" s="512"/>
      <c r="N65" s="512"/>
      <c r="O65" s="512">
        <f>ROUND(IF($C$15&lt;1,0,O58/($C$15*100)*10000),2)</f>
        <v>0</v>
      </c>
      <c r="P65" s="465" t="s">
        <v>86</v>
      </c>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HE65" s="433"/>
      <c r="HF65" s="433"/>
      <c r="HG65" s="433"/>
      <c r="HH65" s="433"/>
      <c r="HI65" s="433"/>
      <c r="HJ65" s="433"/>
      <c r="HK65" s="433"/>
      <c r="HL65" s="433"/>
      <c r="HM65" s="433"/>
      <c r="HN65" s="433"/>
    </row>
    <row r="66" spans="1:222" x14ac:dyDescent="0.2">
      <c r="B66" s="433"/>
      <c r="C66" s="433"/>
      <c r="D66" s="433"/>
      <c r="E66" s="433"/>
      <c r="F66" s="433"/>
      <c r="G66" s="433"/>
      <c r="H66" s="513"/>
      <c r="I66" s="514" t="s">
        <v>198</v>
      </c>
      <c r="J66" s="433"/>
      <c r="K66" s="433"/>
      <c r="L66" s="433"/>
      <c r="M66" s="433"/>
      <c r="N66" s="433"/>
      <c r="O66" s="515">
        <f>ROUND(IF($C$15&lt;1,0,(L58)/($C$15*100)*10000),2)</f>
        <v>0</v>
      </c>
      <c r="P66" s="436" t="s">
        <v>86</v>
      </c>
      <c r="Q66" s="433"/>
      <c r="R66" s="433"/>
      <c r="S66" s="433"/>
      <c r="T66" s="433"/>
      <c r="U66" s="433"/>
      <c r="V66" s="433"/>
      <c r="W66" s="433"/>
      <c r="X66" s="433"/>
      <c r="Y66" s="433"/>
      <c r="Z66" s="433"/>
      <c r="AA66" s="433"/>
      <c r="AB66" s="433"/>
      <c r="AC66" s="433"/>
      <c r="AD66" s="433"/>
      <c r="AE66" s="433"/>
      <c r="AF66" s="433"/>
      <c r="AG66" s="433"/>
      <c r="AH66" s="433"/>
      <c r="AI66" s="433"/>
      <c r="AJ66" s="433"/>
      <c r="AK66" s="433"/>
    </row>
  </sheetData>
  <sheetProtection algorithmName="SHA-512" hashValue="mbY8sUpQREhMqO8HLwQo6Kh0acer1ma+avmA9/j2bGOi6jrFlzuW3xTX2wMbgDfFyg6peLgZTxi1zdHhXux0SQ==" saltValue="KUYRWMl6HXj2NBTS7owg8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7393"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87394"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7395"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87396"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87397"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87398"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458B-5F30-4709-9491-60ED8589FB17}">
  <sheetPr codeName="Sheet13"/>
  <dimension ref="A1:IB66"/>
  <sheetViews>
    <sheetView topLeftCell="A9" zoomScale="80" zoomScaleNormal="80" workbookViewId="0">
      <selection activeCell="D37" sqref="D37"/>
    </sheetView>
  </sheetViews>
  <sheetFormatPr defaultColWidth="8.5703125" defaultRowHeight="12.75" x14ac:dyDescent="0.2"/>
  <cols>
    <col min="1" max="1" width="31" style="430" customWidth="1"/>
    <col min="2" max="2" width="2.140625" style="430" customWidth="1"/>
    <col min="3" max="3" width="21.140625" style="430" customWidth="1"/>
    <col min="4" max="4" width="15.42578125" style="430" customWidth="1"/>
    <col min="5" max="5" width="10.140625" style="430" customWidth="1"/>
    <col min="6" max="6" width="5.5703125" style="430" customWidth="1"/>
    <col min="7" max="8" width="13.42578125" style="430" customWidth="1"/>
    <col min="9" max="9" width="14.5703125" style="430" customWidth="1"/>
    <col min="10" max="10" width="13.42578125" style="430" customWidth="1"/>
    <col min="11" max="11" width="7" style="430" customWidth="1"/>
    <col min="12" max="12" width="15.140625" style="430" customWidth="1"/>
    <col min="13" max="13" width="17.42578125" style="430" bestFit="1" customWidth="1"/>
    <col min="14" max="14" width="16.5703125" style="430" customWidth="1"/>
    <col min="15" max="15" width="19.140625" style="430" bestFit="1" customWidth="1"/>
    <col min="16" max="16" width="12.85546875" style="430" bestFit="1" customWidth="1"/>
    <col min="17" max="17" width="8.5703125" style="430"/>
    <col min="18" max="18" width="9.140625" style="430" hidden="1" customWidth="1"/>
    <col min="19" max="26" width="10.42578125" style="430" hidden="1" customWidth="1"/>
    <col min="27" max="27" width="10.5703125" style="430" hidden="1" customWidth="1"/>
    <col min="28" max="30" width="10.42578125" style="430" hidden="1" customWidth="1"/>
    <col min="31" max="16384" width="8.5703125" style="430"/>
  </cols>
  <sheetData>
    <row r="1" spans="1:30" ht="20.25" x14ac:dyDescent="0.3">
      <c r="A1" s="573" t="s">
        <v>119</v>
      </c>
      <c r="B1" s="573"/>
      <c r="C1" s="573"/>
      <c r="D1" s="573"/>
      <c r="E1" s="573"/>
      <c r="F1" s="573"/>
      <c r="G1" s="573"/>
      <c r="H1" s="573"/>
      <c r="I1" s="573"/>
      <c r="J1" s="573"/>
      <c r="K1" s="573"/>
      <c r="L1" s="573"/>
      <c r="M1" s="573"/>
      <c r="N1" s="573"/>
      <c r="O1" s="573"/>
      <c r="P1" s="573"/>
    </row>
    <row r="2" spans="1:30" ht="20.25" x14ac:dyDescent="0.3">
      <c r="A2" s="573" t="s">
        <v>122</v>
      </c>
      <c r="B2" s="573"/>
      <c r="C2" s="573"/>
      <c r="D2" s="573"/>
      <c r="E2" s="573"/>
      <c r="F2" s="573"/>
      <c r="G2" s="573"/>
      <c r="H2" s="573"/>
      <c r="I2" s="573"/>
      <c r="J2" s="573"/>
      <c r="K2" s="573"/>
      <c r="L2" s="573"/>
      <c r="M2" s="573"/>
      <c r="N2" s="573"/>
      <c r="O2" s="573"/>
      <c r="P2" s="573"/>
    </row>
    <row r="3" spans="1:30" ht="18" x14ac:dyDescent="0.25">
      <c r="A3" s="574" t="s">
        <v>339</v>
      </c>
      <c r="B3" s="574"/>
      <c r="C3" s="574"/>
      <c r="D3" s="574"/>
      <c r="E3" s="574"/>
      <c r="F3" s="574"/>
      <c r="G3" s="574"/>
      <c r="H3" s="574"/>
      <c r="I3" s="574"/>
      <c r="J3" s="574"/>
      <c r="K3" s="574"/>
      <c r="L3" s="574"/>
      <c r="M3" s="574"/>
      <c r="N3" s="574"/>
      <c r="O3" s="574"/>
      <c r="P3" s="574"/>
    </row>
    <row r="4" spans="1:30" ht="15.75" x14ac:dyDescent="0.25">
      <c r="A4" s="575" t="str">
        <f>'Customer Info'!B12</f>
        <v>Breakdown of Charges Based on Entered Information</v>
      </c>
      <c r="B4" s="575"/>
      <c r="C4" s="575"/>
      <c r="D4" s="575"/>
      <c r="E4" s="575"/>
      <c r="F4" s="575"/>
      <c r="G4" s="575"/>
      <c r="H4" s="575"/>
      <c r="I4" s="575"/>
      <c r="J4" s="575"/>
      <c r="K4" s="575"/>
      <c r="L4" s="575"/>
      <c r="M4" s="575"/>
      <c r="N4" s="575"/>
      <c r="O4" s="575"/>
      <c r="P4" s="575"/>
    </row>
    <row r="5" spans="1:30" ht="15" x14ac:dyDescent="0.2">
      <c r="A5" s="429"/>
      <c r="B5" s="429"/>
      <c r="C5" s="429"/>
      <c r="D5" s="429"/>
      <c r="E5" s="429"/>
      <c r="F5" s="429"/>
      <c r="G5" s="429"/>
      <c r="H5" s="429" t="s">
        <v>338</v>
      </c>
      <c r="I5" s="429"/>
      <c r="J5" s="429"/>
      <c r="K5" s="429"/>
    </row>
    <row r="6" spans="1:30" x14ac:dyDescent="0.2">
      <c r="A6" s="431">
        <f ca="1">TODAY()</f>
        <v>45532</v>
      </c>
      <c r="B6" s="432"/>
      <c r="C6" s="431"/>
      <c r="D6" s="431"/>
      <c r="E6" s="431"/>
      <c r="F6" s="431"/>
      <c r="G6" s="431"/>
      <c r="H6" s="431"/>
      <c r="I6" s="431"/>
    </row>
    <row r="7" spans="1:30" ht="26.25" x14ac:dyDescent="0.4">
      <c r="A7" s="576"/>
      <c r="B7" s="576"/>
      <c r="C7" s="576"/>
      <c r="D7" s="576"/>
      <c r="E7" s="576"/>
      <c r="F7" s="576"/>
      <c r="G7" s="576"/>
      <c r="H7" s="576"/>
      <c r="I7" s="576"/>
      <c r="J7" s="576"/>
      <c r="K7" s="576"/>
      <c r="L7" s="576"/>
      <c r="M7" s="576"/>
      <c r="N7" s="576"/>
      <c r="O7" s="576"/>
      <c r="P7" s="576"/>
    </row>
    <row r="8" spans="1:30" x14ac:dyDescent="0.2">
      <c r="C8" s="433"/>
      <c r="D8" s="433"/>
      <c r="E8" s="433"/>
      <c r="F8" s="433"/>
      <c r="G8" s="433"/>
      <c r="H8" s="433"/>
      <c r="I8" s="433"/>
      <c r="J8" s="433"/>
      <c r="K8" s="433"/>
    </row>
    <row r="9" spans="1:30" ht="15" x14ac:dyDescent="0.2">
      <c r="A9" s="434" t="s">
        <v>2</v>
      </c>
      <c r="B9" s="435"/>
      <c r="C9" s="436">
        <f>'Customer Info'!B7</f>
        <v>0</v>
      </c>
      <c r="I9" s="437"/>
    </row>
    <row r="10" spans="1:30" ht="15" x14ac:dyDescent="0.2">
      <c r="A10" s="438" t="s">
        <v>26</v>
      </c>
      <c r="B10" s="435"/>
      <c r="C10" s="436">
        <f>'Customer Info'!B8</f>
        <v>0</v>
      </c>
    </row>
    <row r="11" spans="1:30" x14ac:dyDescent="0.2">
      <c r="A11" s="434" t="s">
        <v>3</v>
      </c>
      <c r="B11" s="439">
        <f>'Customer Info'!B9</f>
        <v>9</v>
      </c>
      <c r="C11" s="440" t="str">
        <f>LOOKUP(B11,R11:AD11,R12:AD12)</f>
        <v>September</v>
      </c>
      <c r="D11" s="441">
        <f>'Customer Info'!C9</f>
        <v>2024</v>
      </c>
      <c r="S11" s="430">
        <v>1</v>
      </c>
      <c r="T11" s="430">
        <v>2</v>
      </c>
      <c r="U11" s="430">
        <v>3</v>
      </c>
      <c r="V11" s="430">
        <v>4</v>
      </c>
      <c r="W11" s="430">
        <v>5</v>
      </c>
      <c r="X11" s="430">
        <v>6</v>
      </c>
      <c r="Y11" s="430">
        <v>7</v>
      </c>
      <c r="Z11" s="430">
        <v>8</v>
      </c>
      <c r="AA11" s="430">
        <v>9</v>
      </c>
      <c r="AB11" s="430">
        <v>10</v>
      </c>
      <c r="AC11" s="430">
        <v>11</v>
      </c>
      <c r="AD11" s="430">
        <v>12</v>
      </c>
    </row>
    <row r="12" spans="1:30" x14ac:dyDescent="0.2">
      <c r="A12" s="577"/>
      <c r="B12" s="577"/>
      <c r="C12" s="577"/>
      <c r="D12" s="577"/>
      <c r="E12" s="577"/>
      <c r="F12" s="577"/>
      <c r="G12" s="577"/>
      <c r="H12" s="577"/>
      <c r="I12" s="577"/>
      <c r="J12" s="442"/>
      <c r="K12" s="442"/>
      <c r="L12" s="443"/>
      <c r="M12" s="443"/>
      <c r="N12" s="443"/>
      <c r="O12" s="443"/>
      <c r="P12" s="443"/>
      <c r="R12" s="430" t="s">
        <v>114</v>
      </c>
      <c r="S12" s="519" t="s">
        <v>101</v>
      </c>
      <c r="T12" s="519" t="s">
        <v>102</v>
      </c>
      <c r="U12" s="519" t="s">
        <v>103</v>
      </c>
      <c r="V12" s="519" t="s">
        <v>104</v>
      </c>
      <c r="W12" s="519" t="s">
        <v>105</v>
      </c>
      <c r="X12" s="519" t="s">
        <v>106</v>
      </c>
      <c r="Y12" s="519" t="s">
        <v>107</v>
      </c>
      <c r="Z12" s="519" t="s">
        <v>108</v>
      </c>
      <c r="AA12" s="519" t="s">
        <v>109</v>
      </c>
      <c r="AB12" s="519" t="s">
        <v>111</v>
      </c>
      <c r="AC12" s="519" t="s">
        <v>110</v>
      </c>
      <c r="AD12" s="519" t="s">
        <v>112</v>
      </c>
    </row>
    <row r="13" spans="1:30" x14ac:dyDescent="0.2">
      <c r="A13" s="444" t="s">
        <v>27</v>
      </c>
      <c r="B13" s="445"/>
      <c r="C13" s="445"/>
      <c r="D13" s="445"/>
      <c r="E13" s="445"/>
      <c r="F13" s="445"/>
      <c r="G13" s="445"/>
      <c r="H13" s="445"/>
      <c r="I13" s="445"/>
      <c r="R13" s="459" t="s">
        <v>195</v>
      </c>
      <c r="S13" s="430">
        <f>'Rider Rates'!$C$22</f>
        <v>7.0209999999999995E-2</v>
      </c>
      <c r="T13" s="430">
        <f>'Rider Rates'!$C$22</f>
        <v>7.0209999999999995E-2</v>
      </c>
      <c r="U13" s="430">
        <f>'Rider Rates'!$C$22</f>
        <v>7.0209999999999995E-2</v>
      </c>
      <c r="V13" s="430">
        <f>'Rider Rates'!$C$22</f>
        <v>7.0209999999999995E-2</v>
      </c>
      <c r="W13" s="430">
        <f>'Rider Rates'!$C$22</f>
        <v>7.0209999999999995E-2</v>
      </c>
      <c r="X13" s="430">
        <f>'Rider Rates'!$B$22</f>
        <v>7.0209999999999995E-2</v>
      </c>
      <c r="Y13" s="430">
        <f>'Rider Rates'!$B$22</f>
        <v>7.0209999999999995E-2</v>
      </c>
      <c r="Z13" s="430">
        <f>'Rider Rates'!$B$22</f>
        <v>7.0209999999999995E-2</v>
      </c>
      <c r="AA13" s="430">
        <f>'Rider Rates'!$B$22</f>
        <v>7.0209999999999995E-2</v>
      </c>
      <c r="AB13" s="430">
        <f>'Rider Rates'!$C$22</f>
        <v>7.0209999999999995E-2</v>
      </c>
      <c r="AC13" s="430">
        <f>'Rider Rates'!$C$22</f>
        <v>7.0209999999999995E-2</v>
      </c>
      <c r="AD13" s="430">
        <f>'Rider Rates'!$C$22</f>
        <v>7.0209999999999995E-2</v>
      </c>
    </row>
    <row r="14" spans="1:30" x14ac:dyDescent="0.2">
      <c r="A14" s="433"/>
      <c r="B14" s="433"/>
      <c r="C14" s="433"/>
      <c r="D14" s="433"/>
      <c r="E14" s="433"/>
      <c r="F14" s="433"/>
      <c r="G14" s="433"/>
      <c r="H14" s="433"/>
      <c r="I14" s="433"/>
      <c r="R14" s="433"/>
      <c r="S14" s="520"/>
      <c r="T14" s="520"/>
      <c r="U14" s="520"/>
      <c r="V14" s="520"/>
      <c r="W14" s="520"/>
      <c r="X14" s="520"/>
      <c r="Y14" s="520"/>
      <c r="Z14" s="520"/>
      <c r="AA14" s="520"/>
      <c r="AB14" s="520"/>
      <c r="AC14" s="520"/>
      <c r="AD14" s="520"/>
    </row>
    <row r="15" spans="1:30" x14ac:dyDescent="0.2">
      <c r="A15" s="446" t="s">
        <v>51</v>
      </c>
      <c r="B15" s="446"/>
      <c r="C15" s="447">
        <f>IF('Customer Info'!B22+'Customer Info'!B23-'Customer Info'!B24&lt;0,0,'Customer Info'!B22+'Customer Info'!B23-'Customer Info'!B24)</f>
        <v>0</v>
      </c>
      <c r="D15" s="446" t="s">
        <v>41</v>
      </c>
      <c r="E15" s="446"/>
      <c r="F15" s="448"/>
      <c r="G15" s="446"/>
      <c r="H15" s="446"/>
      <c r="I15" s="446"/>
      <c r="R15" s="433"/>
      <c r="S15" s="520"/>
      <c r="T15" s="520"/>
      <c r="U15" s="520"/>
      <c r="V15" s="520"/>
      <c r="W15" s="520"/>
      <c r="X15" s="520"/>
      <c r="Y15" s="520"/>
      <c r="Z15" s="520"/>
      <c r="AA15" s="520"/>
      <c r="AB15" s="520"/>
      <c r="AC15" s="520"/>
      <c r="AD15" s="520"/>
    </row>
    <row r="16" spans="1:30" x14ac:dyDescent="0.2">
      <c r="A16" s="446" t="s">
        <v>233</v>
      </c>
      <c r="B16" s="446"/>
      <c r="C16" s="447">
        <f>'Customer Info'!B22</f>
        <v>0</v>
      </c>
      <c r="D16" s="446" t="s">
        <v>41</v>
      </c>
      <c r="E16" s="446"/>
      <c r="F16" s="448"/>
      <c r="G16" s="434" t="s">
        <v>15</v>
      </c>
      <c r="H16" s="446"/>
    </row>
    <row r="17" spans="1:221" x14ac:dyDescent="0.2">
      <c r="A17" s="446" t="s">
        <v>234</v>
      </c>
      <c r="B17" s="446"/>
      <c r="C17" s="447">
        <f>'Customer Info'!B23</f>
        <v>0</v>
      </c>
      <c r="D17" s="449" t="s">
        <v>41</v>
      </c>
      <c r="E17" s="448"/>
      <c r="F17" s="448"/>
      <c r="G17" s="434" t="s">
        <v>15</v>
      </c>
      <c r="H17" s="446"/>
      <c r="I17" s="450" t="s">
        <v>15</v>
      </c>
    </row>
    <row r="19" spans="1:221" x14ac:dyDescent="0.2">
      <c r="A19" s="444" t="s">
        <v>31</v>
      </c>
      <c r="B19" s="445"/>
      <c r="C19" s="445"/>
      <c r="D19" s="445"/>
      <c r="E19" s="445"/>
      <c r="F19" s="445"/>
      <c r="G19" s="569" t="s">
        <v>67</v>
      </c>
      <c r="H19" s="570"/>
      <c r="I19" s="570"/>
      <c r="J19" s="571"/>
      <c r="K19" s="445"/>
      <c r="L19" s="572" t="s">
        <v>68</v>
      </c>
      <c r="M19" s="572"/>
      <c r="N19" s="572"/>
      <c r="O19" s="572"/>
    </row>
    <row r="20" spans="1:221" x14ac:dyDescent="0.2">
      <c r="A20" s="433"/>
      <c r="B20" s="433"/>
      <c r="C20" s="433"/>
      <c r="D20" s="433"/>
      <c r="E20" s="433"/>
      <c r="F20" s="433"/>
      <c r="G20" s="451" t="s">
        <v>64</v>
      </c>
      <c r="H20" s="451" t="s">
        <v>65</v>
      </c>
      <c r="I20" s="451" t="s">
        <v>66</v>
      </c>
      <c r="J20" s="452" t="s">
        <v>34</v>
      </c>
      <c r="K20" s="433"/>
      <c r="L20" s="453" t="s">
        <v>64</v>
      </c>
      <c r="M20" s="453" t="s">
        <v>65</v>
      </c>
      <c r="N20" s="453" t="s">
        <v>66</v>
      </c>
      <c r="O20" s="453" t="s">
        <v>34</v>
      </c>
      <c r="P20" s="454" t="s">
        <v>56</v>
      </c>
    </row>
    <row r="21" spans="1:221" x14ac:dyDescent="0.2">
      <c r="A21" s="430" t="s">
        <v>32</v>
      </c>
      <c r="G21" s="455"/>
      <c r="H21" s="455"/>
      <c r="I21" s="455">
        <f>'Rider Rates'!B150</f>
        <v>825</v>
      </c>
      <c r="J21" s="455">
        <f>SUM(G21:I21)</f>
        <v>825</v>
      </c>
      <c r="L21" s="456"/>
      <c r="M21" s="456"/>
      <c r="N21" s="456">
        <f>I21</f>
        <v>825</v>
      </c>
      <c r="O21" s="457">
        <f>SUM(L21:N21)</f>
        <v>825</v>
      </c>
      <c r="P21" s="458">
        <v>44531</v>
      </c>
    </row>
    <row r="22" spans="1:221" x14ac:dyDescent="0.2">
      <c r="A22" s="459" t="s">
        <v>302</v>
      </c>
      <c r="D22" s="460">
        <f>C15</f>
        <v>0</v>
      </c>
      <c r="E22" s="461" t="s">
        <v>41</v>
      </c>
      <c r="F22" s="462" t="s">
        <v>8</v>
      </c>
      <c r="G22" s="463"/>
      <c r="H22" s="463"/>
      <c r="I22" s="463">
        <f>'Rider Rates'!C150</f>
        <v>5.9799999999999997E-5</v>
      </c>
      <c r="J22" s="463">
        <f>SUM(G22:I22)</f>
        <v>5.9799999999999997E-5</v>
      </c>
      <c r="K22" s="464" t="s">
        <v>42</v>
      </c>
      <c r="L22" s="457"/>
      <c r="M22" s="457"/>
      <c r="N22" s="457">
        <f>IF(C15&lt;0,0,ROUND($D22*I22,2))</f>
        <v>0</v>
      </c>
      <c r="O22" s="457">
        <f>SUM(L22:N22)</f>
        <v>0</v>
      </c>
      <c r="P22" s="458">
        <f>'Rider Rates'!H150</f>
        <v>45444</v>
      </c>
    </row>
    <row r="23" spans="1:221" x14ac:dyDescent="0.2">
      <c r="A23" s="465" t="s">
        <v>50</v>
      </c>
      <c r="B23" s="465"/>
      <c r="C23" s="465"/>
      <c r="D23" s="466"/>
      <c r="E23" s="466"/>
      <c r="F23" s="465"/>
      <c r="G23" s="465"/>
      <c r="H23" s="465"/>
      <c r="I23" s="465"/>
      <c r="J23" s="465"/>
      <c r="K23" s="467"/>
      <c r="L23" s="468"/>
      <c r="M23" s="468"/>
      <c r="N23" s="468">
        <f>SUM(N21:N22)</f>
        <v>825</v>
      </c>
      <c r="O23" s="468">
        <f>SUM(O21:O22)</f>
        <v>825</v>
      </c>
    </row>
    <row r="24" spans="1:221" x14ac:dyDescent="0.2">
      <c r="A24" s="469"/>
      <c r="B24" s="469"/>
      <c r="C24" s="470"/>
      <c r="D24" s="470"/>
      <c r="E24" s="470"/>
      <c r="F24" s="470"/>
      <c r="G24" s="471"/>
      <c r="H24" s="471"/>
      <c r="I24" s="471"/>
      <c r="J24" s="471"/>
      <c r="K24" s="469"/>
      <c r="L24" s="469"/>
      <c r="M24" s="469"/>
      <c r="N24" s="469"/>
      <c r="O24" s="469"/>
      <c r="P24" s="469"/>
    </row>
    <row r="25" spans="1:221" x14ac:dyDescent="0.2">
      <c r="A25" s="472" t="s">
        <v>69</v>
      </c>
      <c r="B25" s="473"/>
      <c r="C25" s="473"/>
      <c r="D25" s="474"/>
      <c r="E25" s="474"/>
      <c r="F25" s="473"/>
      <c r="G25" s="474"/>
      <c r="H25" s="474"/>
      <c r="I25" s="474"/>
      <c r="J25" s="474"/>
      <c r="K25" s="474"/>
      <c r="L25" s="474"/>
      <c r="M25" s="474"/>
      <c r="N25" s="474"/>
      <c r="O25" s="474"/>
      <c r="P25" s="475"/>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row>
    <row r="26" spans="1:221" x14ac:dyDescent="0.2">
      <c r="P26" s="476"/>
      <c r="Q26" s="490"/>
      <c r="R26" s="521"/>
      <c r="S26" s="522"/>
      <c r="T26" s="510"/>
      <c r="U26" s="433"/>
      <c r="V26" s="52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row>
    <row r="27" spans="1:221" x14ac:dyDescent="0.2">
      <c r="A27" s="477" t="s">
        <v>78</v>
      </c>
      <c r="B27" s="478"/>
      <c r="C27" s="478"/>
      <c r="D27" s="460">
        <f>IF($C$15&lt;0,0,IF($C$15&gt;833000,833000,$C$15))</f>
        <v>0</v>
      </c>
      <c r="E27" s="461" t="s">
        <v>41</v>
      </c>
      <c r="F27" s="462" t="s">
        <v>8</v>
      </c>
      <c r="G27" s="479"/>
      <c r="H27" s="479"/>
      <c r="I27" s="479">
        <f>'Rider Rates'!$B$4</f>
        <v>5.9216E-3</v>
      </c>
      <c r="J27" s="479">
        <f t="shared" ref="J27:J48" si="0">SUM(G27:I27)</f>
        <v>5.9216E-3</v>
      </c>
      <c r="K27" s="464" t="s">
        <v>42</v>
      </c>
      <c r="L27" s="250"/>
      <c r="M27" s="250"/>
      <c r="N27" s="250">
        <f t="shared" ref="N27:N32" si="1">ROUND(D27*I27,2)</f>
        <v>0</v>
      </c>
      <c r="O27" s="250">
        <f t="shared" ref="O27:O49" si="2">SUM(L27:N27)</f>
        <v>0</v>
      </c>
      <c r="P27" s="458">
        <f>'Rider Rates'!$D$4</f>
        <v>45293</v>
      </c>
      <c r="Q27" s="490"/>
      <c r="R27" s="505"/>
      <c r="S27" s="522"/>
      <c r="T27" s="510"/>
      <c r="U27" s="433"/>
      <c r="V27" s="52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row>
    <row r="28" spans="1:221" x14ac:dyDescent="0.2">
      <c r="A28" s="477" t="s">
        <v>79</v>
      </c>
      <c r="B28" s="433"/>
      <c r="C28" s="433"/>
      <c r="D28" s="427">
        <f>IF($C$15&gt;833000,$C$15-833000,0)</f>
        <v>0</v>
      </c>
      <c r="E28" s="461" t="s">
        <v>41</v>
      </c>
      <c r="F28" s="462" t="s">
        <v>8</v>
      </c>
      <c r="G28" s="479"/>
      <c r="H28" s="479"/>
      <c r="I28" s="479">
        <f>'Rider Rates'!$B$5</f>
        <v>1.7560000000000001E-4</v>
      </c>
      <c r="J28" s="479">
        <f t="shared" si="0"/>
        <v>1.7560000000000001E-4</v>
      </c>
      <c r="K28" s="464" t="s">
        <v>42</v>
      </c>
      <c r="L28" s="250"/>
      <c r="M28" s="250"/>
      <c r="N28" s="250">
        <f t="shared" si="1"/>
        <v>0</v>
      </c>
      <c r="O28" s="250">
        <f t="shared" si="2"/>
        <v>0</v>
      </c>
      <c r="P28" s="458">
        <f>'Rider Rates'!$D$4</f>
        <v>45293</v>
      </c>
      <c r="Q28" s="490"/>
      <c r="R28" s="505"/>
      <c r="S28" s="522"/>
      <c r="T28" s="510"/>
      <c r="U28" s="433"/>
      <c r="V28" s="52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row>
    <row r="29" spans="1:221" x14ac:dyDescent="0.2">
      <c r="A29" s="477" t="s">
        <v>96</v>
      </c>
      <c r="B29" s="433"/>
      <c r="C29" s="433"/>
      <c r="D29" s="460">
        <f>IF('Customer Info'!$C$33=TRUE,0,IF($C$15&lt;0,0,IF($C$15&gt;2000,2000,$C$15)))</f>
        <v>0</v>
      </c>
      <c r="E29" s="461" t="s">
        <v>41</v>
      </c>
      <c r="F29" s="462" t="s">
        <v>8</v>
      </c>
      <c r="G29" s="479"/>
      <c r="H29" s="479"/>
      <c r="I29" s="480">
        <f>'Rider Rates'!$B$8</f>
        <v>4.6499999999999996E-3</v>
      </c>
      <c r="J29" s="480">
        <f t="shared" si="0"/>
        <v>4.6499999999999996E-3</v>
      </c>
      <c r="K29" s="464" t="s">
        <v>42</v>
      </c>
      <c r="L29" s="250"/>
      <c r="M29" s="250"/>
      <c r="N29" s="250">
        <f t="shared" si="1"/>
        <v>0</v>
      </c>
      <c r="O29" s="250">
        <f t="shared" si="2"/>
        <v>0</v>
      </c>
      <c r="P29" s="458">
        <f>'Rider Rates'!$D$7</f>
        <v>44531</v>
      </c>
      <c r="Q29" s="490"/>
      <c r="R29" s="505"/>
      <c r="S29" s="522"/>
      <c r="T29" s="510"/>
      <c r="U29" s="433"/>
      <c r="V29" s="52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row>
    <row r="30" spans="1:221" x14ac:dyDescent="0.2">
      <c r="A30" s="477" t="s">
        <v>97</v>
      </c>
      <c r="B30" s="433"/>
      <c r="C30" s="433"/>
      <c r="D30" s="460">
        <f>IF('Customer Info'!$C$33=TRUE,0,IF($C$15&lt;=2000,0,IF($C$15=0,0,IF($C$15-2000&gt;13000,13000,$C$15-2000))))</f>
        <v>0</v>
      </c>
      <c r="E30" s="461" t="s">
        <v>41</v>
      </c>
      <c r="F30" s="462" t="s">
        <v>8</v>
      </c>
      <c r="G30" s="479"/>
      <c r="H30" s="479"/>
      <c r="I30" s="480">
        <f>'Rider Rates'!$B$9</f>
        <v>4.1900000000000001E-3</v>
      </c>
      <c r="J30" s="480">
        <f t="shared" si="0"/>
        <v>4.1900000000000001E-3</v>
      </c>
      <c r="K30" s="464" t="s">
        <v>42</v>
      </c>
      <c r="L30" s="250"/>
      <c r="M30" s="250"/>
      <c r="N30" s="250">
        <f t="shared" si="1"/>
        <v>0</v>
      </c>
      <c r="O30" s="250">
        <f t="shared" si="2"/>
        <v>0</v>
      </c>
      <c r="P30" s="458">
        <f>'Rider Rates'!$D$7</f>
        <v>44531</v>
      </c>
      <c r="Q30" s="490"/>
      <c r="R30" s="505"/>
      <c r="S30" s="522"/>
      <c r="T30" s="510"/>
      <c r="U30" s="433"/>
      <c r="V30" s="52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row>
    <row r="31" spans="1:221" x14ac:dyDescent="0.2">
      <c r="A31" s="477" t="s">
        <v>98</v>
      </c>
      <c r="B31" s="433"/>
      <c r="C31" s="433"/>
      <c r="D31" s="460">
        <f>IF('Customer Info'!$C$33=TRUE,0,IF($C$15=0,0,IF($C$15-15000&gt;=0,$C$15-15000,0)))</f>
        <v>0</v>
      </c>
      <c r="E31" s="461" t="s">
        <v>41</v>
      </c>
      <c r="F31" s="462" t="s">
        <v>8</v>
      </c>
      <c r="G31" s="479"/>
      <c r="H31" s="479"/>
      <c r="I31" s="480">
        <f>'Rider Rates'!$B$10</f>
        <v>3.63E-3</v>
      </c>
      <c r="J31" s="480">
        <f t="shared" si="0"/>
        <v>3.63E-3</v>
      </c>
      <c r="K31" s="464" t="s">
        <v>42</v>
      </c>
      <c r="L31" s="250"/>
      <c r="M31" s="250"/>
      <c r="N31" s="250">
        <f t="shared" si="1"/>
        <v>0</v>
      </c>
      <c r="O31" s="250">
        <f t="shared" si="2"/>
        <v>0</v>
      </c>
      <c r="P31" s="458">
        <f>'Rider Rates'!$D$7</f>
        <v>44531</v>
      </c>
      <c r="Q31" s="490"/>
      <c r="R31" s="505"/>
      <c r="S31" s="522"/>
      <c r="T31" s="510"/>
      <c r="U31" s="433"/>
      <c r="V31" s="52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row>
    <row r="32" spans="1:221" x14ac:dyDescent="0.2">
      <c r="A32" s="432" t="s">
        <v>159</v>
      </c>
      <c r="B32" s="433"/>
      <c r="C32" s="433"/>
      <c r="D32" s="460">
        <f>IF($C$15&lt;0,0,$C$15)</f>
        <v>0</v>
      </c>
      <c r="E32" s="461" t="s">
        <v>41</v>
      </c>
      <c r="F32" s="462" t="s">
        <v>8</v>
      </c>
      <c r="G32" s="479"/>
      <c r="H32" s="479"/>
      <c r="I32" s="479">
        <f>'Rider Rates'!$B$16</f>
        <v>0</v>
      </c>
      <c r="J32" s="479">
        <f>SUM(G32:I32)</f>
        <v>0</v>
      </c>
      <c r="K32" s="464" t="s">
        <v>42</v>
      </c>
      <c r="L32" s="250"/>
      <c r="M32" s="250"/>
      <c r="N32" s="250">
        <f t="shared" si="1"/>
        <v>0</v>
      </c>
      <c r="O32" s="250">
        <f t="shared" si="2"/>
        <v>0</v>
      </c>
      <c r="P32" s="458">
        <f>'Rider Rates'!$D$16</f>
        <v>45197</v>
      </c>
      <c r="Q32" s="490"/>
      <c r="R32" s="505"/>
      <c r="S32" s="522"/>
      <c r="T32" s="510"/>
      <c r="U32" s="433"/>
      <c r="V32" s="52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row>
    <row r="33" spans="1:221" x14ac:dyDescent="0.2">
      <c r="A33" s="432" t="s">
        <v>245</v>
      </c>
      <c r="B33" s="433"/>
      <c r="C33" s="433"/>
      <c r="D33" s="428">
        <f>$N$23</f>
        <v>825</v>
      </c>
      <c r="E33" s="461" t="s">
        <v>121</v>
      </c>
      <c r="F33" s="462" t="s">
        <v>8</v>
      </c>
      <c r="G33" s="479"/>
      <c r="H33" s="479"/>
      <c r="I33" s="481">
        <f>'Rider Rates'!$B$18+'Rider Rates'!$E$18</f>
        <v>0</v>
      </c>
      <c r="J33" s="481">
        <f>SUM(G33:I33)</f>
        <v>0</v>
      </c>
      <c r="K33" s="464"/>
      <c r="L33" s="250"/>
      <c r="M33" s="250"/>
      <c r="N33" s="250">
        <f>ROUND($D$33*'Rider Rates'!$B$18,2)+ROUND($D$33*'Rider Rates'!$E$18,2)</f>
        <v>0</v>
      </c>
      <c r="O33" s="250">
        <f t="shared" si="2"/>
        <v>0</v>
      </c>
      <c r="P33" s="458">
        <f>MAX('Rider Rates'!$D$18,'Rider Rates'!$F$18)</f>
        <v>44531</v>
      </c>
      <c r="Q33" s="490"/>
      <c r="R33" s="505"/>
      <c r="S33" s="522"/>
      <c r="T33" s="510"/>
      <c r="U33" s="433"/>
      <c r="V33" s="52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row>
    <row r="34" spans="1:221" x14ac:dyDescent="0.2">
      <c r="A34" s="432" t="s">
        <v>194</v>
      </c>
      <c r="B34" s="433"/>
      <c r="C34" s="433"/>
      <c r="D34" s="460">
        <f>C15</f>
        <v>0</v>
      </c>
      <c r="E34" s="461" t="s">
        <v>41</v>
      </c>
      <c r="F34" s="462" t="s">
        <v>8</v>
      </c>
      <c r="G34" s="479">
        <f>'Rider Rates'!B25</f>
        <v>6.6629999999999995E-2</v>
      </c>
      <c r="H34" s="479"/>
      <c r="I34" s="479"/>
      <c r="J34" s="482">
        <f>SUM(G34:H34)</f>
        <v>6.6629999999999995E-2</v>
      </c>
      <c r="K34" s="464" t="s">
        <v>42</v>
      </c>
      <c r="L34" s="250">
        <f>ROUND(D34*G34,2)</f>
        <v>0</v>
      </c>
      <c r="M34" s="250"/>
      <c r="N34" s="250"/>
      <c r="O34" s="250">
        <f t="shared" si="2"/>
        <v>0</v>
      </c>
      <c r="P34" s="458">
        <f>'Rider Rates'!$D$22</f>
        <v>45444</v>
      </c>
      <c r="Q34" s="490"/>
      <c r="R34" s="505"/>
      <c r="S34" s="522"/>
      <c r="T34" s="510"/>
      <c r="U34" s="433"/>
      <c r="V34" s="52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row>
    <row r="35" spans="1:221" x14ac:dyDescent="0.2">
      <c r="A35" s="432" t="s">
        <v>164</v>
      </c>
      <c r="B35" s="433"/>
      <c r="C35" s="433"/>
      <c r="D35" s="460">
        <f>C16</f>
        <v>0</v>
      </c>
      <c r="E35" s="461" t="s">
        <v>41</v>
      </c>
      <c r="F35" s="462" t="s">
        <v>8</v>
      </c>
      <c r="G35" s="479">
        <f>'Rider Rates'!B46</f>
        <v>2.0022E-3</v>
      </c>
      <c r="H35" s="479"/>
      <c r="I35" s="479"/>
      <c r="J35" s="482">
        <f>SUM(G35:H35)</f>
        <v>2.0022E-3</v>
      </c>
      <c r="K35" s="464" t="s">
        <v>42</v>
      </c>
      <c r="L35" s="250">
        <f>ROUND(D35*G35,2)</f>
        <v>0</v>
      </c>
      <c r="M35" s="250"/>
      <c r="N35" s="250"/>
      <c r="O35" s="250">
        <f t="shared" si="2"/>
        <v>0</v>
      </c>
      <c r="P35" s="458">
        <f>'Rider Rates'!$D$38</f>
        <v>45444</v>
      </c>
      <c r="Q35" s="490"/>
      <c r="R35" s="505"/>
      <c r="S35" s="522"/>
      <c r="T35" s="510"/>
      <c r="U35" s="433"/>
      <c r="V35" s="52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row>
    <row r="36" spans="1:221" x14ac:dyDescent="0.2">
      <c r="A36" s="432" t="s">
        <v>227</v>
      </c>
      <c r="B36" s="433"/>
      <c r="C36" s="433"/>
      <c r="D36" s="460">
        <f>C17</f>
        <v>0</v>
      </c>
      <c r="E36" s="461" t="s">
        <v>41</v>
      </c>
      <c r="F36" s="454" t="s">
        <v>8</v>
      </c>
      <c r="G36" s="479">
        <f>'Rider Rates'!C46</f>
        <v>8.3000000000000001E-4</v>
      </c>
      <c r="H36" s="479"/>
      <c r="I36" s="479"/>
      <c r="J36" s="482">
        <f>SUM(G36:H36)</f>
        <v>8.3000000000000001E-4</v>
      </c>
      <c r="K36" s="464" t="s">
        <v>42</v>
      </c>
      <c r="L36" s="250">
        <f>ROUND(D36*G36,2)</f>
        <v>0</v>
      </c>
      <c r="M36" s="250"/>
      <c r="N36" s="250"/>
      <c r="O36" s="250">
        <f t="shared" si="2"/>
        <v>0</v>
      </c>
      <c r="P36" s="458">
        <f>'Rider Rates'!D39</f>
        <v>45444</v>
      </c>
      <c r="Q36" s="490"/>
      <c r="R36" s="505"/>
      <c r="S36" s="522"/>
      <c r="T36" s="510"/>
      <c r="U36" s="433"/>
      <c r="V36" s="52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row>
    <row r="37" spans="1:221" x14ac:dyDescent="0.2">
      <c r="A37" s="432" t="s">
        <v>201</v>
      </c>
      <c r="B37" s="433"/>
      <c r="C37" s="433"/>
      <c r="D37" s="460">
        <f>C16+C17</f>
        <v>0</v>
      </c>
      <c r="E37" s="461" t="s">
        <v>41</v>
      </c>
      <c r="F37" s="462" t="s">
        <v>8</v>
      </c>
      <c r="G37" s="479">
        <f>'Rider Rates'!$B$49</f>
        <v>-3.1569999999999998E-4</v>
      </c>
      <c r="H37" s="479"/>
      <c r="I37" s="479"/>
      <c r="J37" s="482">
        <f>SUM(G37:H37)</f>
        <v>-3.1569999999999998E-4</v>
      </c>
      <c r="K37" s="464" t="s">
        <v>42</v>
      </c>
      <c r="L37" s="250">
        <f>ROUND(D37*G37,2)</f>
        <v>0</v>
      </c>
      <c r="M37" s="250"/>
      <c r="N37" s="250"/>
      <c r="O37" s="250">
        <f t="shared" si="2"/>
        <v>0</v>
      </c>
      <c r="P37" s="458">
        <f>'Rider Rates'!$D$49</f>
        <v>45471</v>
      </c>
      <c r="Q37" s="490"/>
      <c r="R37" s="505"/>
      <c r="S37" s="522"/>
      <c r="T37" s="510"/>
      <c r="U37" s="433"/>
      <c r="V37" s="52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row>
    <row r="38" spans="1:221" x14ac:dyDescent="0.2">
      <c r="A38" s="483" t="s">
        <v>218</v>
      </c>
      <c r="B38" s="433"/>
      <c r="C38" s="433"/>
      <c r="D38" s="460">
        <f>IF($C$15&lt;0,0,IF($C$15&gt;833000,833000,$C$15))</f>
        <v>0</v>
      </c>
      <c r="E38" s="461" t="s">
        <v>41</v>
      </c>
      <c r="F38" s="462" t="s">
        <v>8</v>
      </c>
      <c r="G38" s="479"/>
      <c r="H38" s="479"/>
      <c r="I38" s="479">
        <f>'Rider Rates'!D53</f>
        <v>1.8006999999999999E-3</v>
      </c>
      <c r="J38" s="479">
        <f>SUM(G38:I38)</f>
        <v>1.8006999999999999E-3</v>
      </c>
      <c r="K38" s="464" t="s">
        <v>42</v>
      </c>
      <c r="L38" s="250"/>
      <c r="M38" s="250"/>
      <c r="N38" s="250">
        <f>D38*J38</f>
        <v>0</v>
      </c>
      <c r="O38" s="250">
        <f t="shared" si="2"/>
        <v>0</v>
      </c>
      <c r="P38" s="458">
        <f>'Rider Rates'!E53</f>
        <v>45474</v>
      </c>
      <c r="Q38" s="490"/>
      <c r="R38" s="505"/>
      <c r="S38" s="522"/>
      <c r="T38" s="510"/>
      <c r="U38" s="433"/>
      <c r="V38" s="52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c r="GD38" s="433"/>
      <c r="GE38" s="433"/>
      <c r="GF38" s="433"/>
      <c r="GG38" s="433"/>
      <c r="GH38" s="433"/>
      <c r="GI38" s="433"/>
      <c r="GJ38" s="433"/>
      <c r="GK38" s="433"/>
      <c r="GL38" s="433"/>
      <c r="GM38" s="433"/>
      <c r="GN38" s="433"/>
      <c r="GO38" s="433"/>
      <c r="GP38" s="433"/>
      <c r="GQ38" s="433"/>
      <c r="GR38" s="433"/>
      <c r="GS38" s="433"/>
      <c r="GT38" s="433"/>
      <c r="GU38" s="433"/>
      <c r="GV38" s="433"/>
      <c r="GW38" s="433"/>
      <c r="GX38" s="433"/>
      <c r="GY38" s="433"/>
      <c r="GZ38" s="433"/>
      <c r="HA38" s="433"/>
      <c r="HB38" s="433"/>
      <c r="HC38" s="433"/>
      <c r="HD38" s="433"/>
      <c r="HE38" s="433"/>
      <c r="HF38" s="433"/>
      <c r="HG38" s="433"/>
      <c r="HH38" s="433"/>
      <c r="HI38" s="433"/>
      <c r="HJ38" s="433"/>
      <c r="HK38" s="433"/>
      <c r="HL38" s="433"/>
      <c r="HM38" s="433"/>
    </row>
    <row r="39" spans="1:221" x14ac:dyDescent="0.2">
      <c r="A39" s="432" t="s">
        <v>197</v>
      </c>
      <c r="B39" s="433"/>
      <c r="C39" s="433"/>
      <c r="D39" s="460">
        <f>IF($C$15&lt;0,0,$C$15)</f>
        <v>0</v>
      </c>
      <c r="E39" s="484" t="s">
        <v>41</v>
      </c>
      <c r="F39" s="462" t="s">
        <v>8</v>
      </c>
      <c r="G39" s="479"/>
      <c r="H39" s="479">
        <f>'Rider Rates'!$B$60</f>
        <v>2.3467399999999999E-2</v>
      </c>
      <c r="I39" s="479"/>
      <c r="J39" s="479">
        <f>SUM(G39:I39)</f>
        <v>2.3467399999999999E-2</v>
      </c>
      <c r="K39" s="464" t="s">
        <v>42</v>
      </c>
      <c r="L39" s="250"/>
      <c r="M39" s="250">
        <f>ROUND(D39*H39,2)</f>
        <v>0</v>
      </c>
      <c r="N39" s="485"/>
      <c r="O39" s="250">
        <f t="shared" si="2"/>
        <v>0</v>
      </c>
      <c r="P39" s="458">
        <f>'Rider Rates'!$D$60</f>
        <v>45383</v>
      </c>
      <c r="Q39" s="490"/>
      <c r="R39" s="505"/>
      <c r="S39" s="522"/>
      <c r="T39" s="510"/>
      <c r="U39" s="433"/>
      <c r="V39" s="52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c r="GD39" s="433"/>
      <c r="GE39" s="433"/>
      <c r="GF39" s="433"/>
      <c r="GG39" s="433"/>
      <c r="GH39" s="433"/>
      <c r="GI39" s="433"/>
      <c r="GJ39" s="433"/>
      <c r="GK39" s="433"/>
      <c r="GL39" s="433"/>
      <c r="GM39" s="433"/>
      <c r="GN39" s="433"/>
      <c r="GO39" s="433"/>
      <c r="GP39" s="433"/>
      <c r="GQ39" s="433"/>
      <c r="GR39" s="433"/>
      <c r="GS39" s="433"/>
      <c r="GT39" s="433"/>
      <c r="GU39" s="433"/>
      <c r="GV39" s="433"/>
      <c r="GW39" s="433"/>
      <c r="GX39" s="433"/>
      <c r="GY39" s="433"/>
      <c r="GZ39" s="433"/>
      <c r="HA39" s="433"/>
      <c r="HB39" s="433"/>
      <c r="HC39" s="433"/>
      <c r="HD39" s="433"/>
      <c r="HE39" s="433"/>
      <c r="HF39" s="433"/>
      <c r="HG39" s="433"/>
      <c r="HH39" s="433"/>
      <c r="HI39" s="433"/>
      <c r="HJ39" s="433"/>
      <c r="HK39" s="433"/>
      <c r="HL39" s="433"/>
      <c r="HM39" s="433"/>
    </row>
    <row r="40" spans="1:221" x14ac:dyDescent="0.2">
      <c r="A40" s="477" t="s">
        <v>95</v>
      </c>
      <c r="B40" s="433"/>
      <c r="C40" s="433"/>
      <c r="D40" s="460">
        <f>IF('Customer Info'!C35=TRUE,0,IF($C$15&lt;0,0,$C$15))</f>
        <v>0</v>
      </c>
      <c r="E40" s="461" t="s">
        <v>41</v>
      </c>
      <c r="F40" s="462" t="s">
        <v>8</v>
      </c>
      <c r="G40" s="479"/>
      <c r="H40" s="479"/>
      <c r="I40" s="479">
        <f>'Rider Rates'!$B$74+'Rider Rates'!$C$74</f>
        <v>0</v>
      </c>
      <c r="J40" s="479">
        <f t="shared" si="0"/>
        <v>0</v>
      </c>
      <c r="K40" s="464" t="s">
        <v>42</v>
      </c>
      <c r="L40" s="250"/>
      <c r="M40" s="250"/>
      <c r="N40" s="250">
        <f>ROUND($D$40*'Rider Rates'!$B$74,2)+ROUND($D$40*'Rider Rates'!$C$74,2)</f>
        <v>0</v>
      </c>
      <c r="O40" s="250">
        <f t="shared" si="2"/>
        <v>0</v>
      </c>
      <c r="P40" s="458">
        <f>'Rider Rates'!$D$74</f>
        <v>44531</v>
      </c>
      <c r="Q40" s="490"/>
      <c r="R40" s="505"/>
      <c r="S40" s="522"/>
      <c r="T40" s="510"/>
      <c r="U40" s="433"/>
      <c r="V40" s="52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row>
    <row r="41" spans="1:221" x14ac:dyDescent="0.2">
      <c r="A41" s="477" t="s">
        <v>95</v>
      </c>
      <c r="B41" s="433"/>
      <c r="C41" s="433"/>
      <c r="D41" s="460"/>
      <c r="E41" s="461" t="s">
        <v>114</v>
      </c>
      <c r="F41" s="462"/>
      <c r="G41" s="479"/>
      <c r="H41" s="479"/>
      <c r="I41" s="486">
        <f>'Rider Rates'!$B$81</f>
        <v>0</v>
      </c>
      <c r="J41" s="486">
        <f>IF('Customer Info'!C35=TRUE,0,SUM(G41:I41))</f>
        <v>0</v>
      </c>
      <c r="K41" s="464"/>
      <c r="L41" s="250"/>
      <c r="M41" s="250"/>
      <c r="N41" s="250">
        <f>J41</f>
        <v>0</v>
      </c>
      <c r="O41" s="250">
        <f>SUM(L41:N41)</f>
        <v>0</v>
      </c>
      <c r="P41" s="458">
        <v>44531</v>
      </c>
      <c r="Q41" s="490"/>
      <c r="R41" s="505"/>
      <c r="S41" s="522"/>
      <c r="T41" s="510"/>
      <c r="U41" s="433"/>
      <c r="V41" s="52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row>
    <row r="42" spans="1:221" x14ac:dyDescent="0.2">
      <c r="A42" s="477" t="s">
        <v>80</v>
      </c>
      <c r="B42" s="433"/>
      <c r="C42" s="433"/>
      <c r="D42" s="428">
        <f>$N$23</f>
        <v>825</v>
      </c>
      <c r="E42" s="461" t="s">
        <v>121</v>
      </c>
      <c r="F42" s="462" t="s">
        <v>8</v>
      </c>
      <c r="G42" s="487"/>
      <c r="H42" s="452"/>
      <c r="I42" s="488">
        <f>'Rider Rates'!$B$89</f>
        <v>2.9347000000000002E-2</v>
      </c>
      <c r="J42" s="488">
        <f t="shared" si="0"/>
        <v>2.9347000000000002E-2</v>
      </c>
      <c r="K42" s="464"/>
      <c r="L42" s="250"/>
      <c r="M42" s="250"/>
      <c r="N42" s="250">
        <f>ROUND(D42*I42,2)</f>
        <v>24.21</v>
      </c>
      <c r="O42" s="250">
        <f t="shared" si="2"/>
        <v>24.21</v>
      </c>
      <c r="P42" s="458">
        <f>'Rider Rates'!$D$89</f>
        <v>45383</v>
      </c>
      <c r="Q42" s="490"/>
      <c r="R42" s="505"/>
      <c r="S42" s="522"/>
      <c r="T42" s="510"/>
      <c r="U42" s="433"/>
      <c r="V42" s="52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row>
    <row r="43" spans="1:221" x14ac:dyDescent="0.2">
      <c r="A43" s="477" t="s">
        <v>81</v>
      </c>
      <c r="B43" s="433"/>
      <c r="C43" s="433"/>
      <c r="D43" s="428">
        <f>$N$23</f>
        <v>825</v>
      </c>
      <c r="E43" s="461" t="s">
        <v>121</v>
      </c>
      <c r="F43" s="462" t="s">
        <v>8</v>
      </c>
      <c r="G43" s="489"/>
      <c r="H43" s="452"/>
      <c r="I43" s="488">
        <f>'Rider Rates'!$B$91</f>
        <v>6.6985699999999995E-2</v>
      </c>
      <c r="J43" s="488">
        <f t="shared" si="0"/>
        <v>6.6985699999999995E-2</v>
      </c>
      <c r="K43" s="464"/>
      <c r="L43" s="250"/>
      <c r="M43" s="250"/>
      <c r="N43" s="250">
        <f>ROUND(D43*I43,2)</f>
        <v>55.26</v>
      </c>
      <c r="O43" s="250">
        <f t="shared" si="2"/>
        <v>55.26</v>
      </c>
      <c r="P43" s="458">
        <f>'Rider Rates'!$D$91</f>
        <v>45167</v>
      </c>
      <c r="Q43" s="490"/>
      <c r="R43" s="505"/>
      <c r="S43" s="522"/>
      <c r="T43" s="510"/>
      <c r="U43" s="433"/>
      <c r="V43" s="52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row>
    <row r="44" spans="1:221" x14ac:dyDescent="0.2">
      <c r="A44" s="432" t="s">
        <v>214</v>
      </c>
      <c r="B44" s="433"/>
      <c r="C44" s="433"/>
      <c r="D44" s="428"/>
      <c r="E44" s="484" t="s">
        <v>114</v>
      </c>
      <c r="F44" s="490"/>
      <c r="G44" s="489"/>
      <c r="H44" s="452"/>
      <c r="I44" s="486">
        <f>'Rider Rates'!$B$95</f>
        <v>11.97</v>
      </c>
      <c r="J44" s="486">
        <f t="shared" si="0"/>
        <v>11.97</v>
      </c>
      <c r="K44" s="464"/>
      <c r="L44" s="250"/>
      <c r="M44" s="250"/>
      <c r="N44" s="250">
        <f>I44</f>
        <v>11.97</v>
      </c>
      <c r="O44" s="250">
        <f t="shared" si="2"/>
        <v>11.97</v>
      </c>
      <c r="P44" s="458">
        <f>'Rider Rates'!$D$95</f>
        <v>45442</v>
      </c>
      <c r="Q44" s="490"/>
      <c r="R44" s="505"/>
      <c r="S44" s="522"/>
      <c r="T44" s="510"/>
      <c r="U44" s="433"/>
      <c r="V44" s="52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row>
    <row r="45" spans="1:221" x14ac:dyDescent="0.2">
      <c r="A45" s="432" t="s">
        <v>247</v>
      </c>
      <c r="B45" s="433"/>
      <c r="C45" s="433"/>
      <c r="D45" s="460">
        <f>IF($C$15&lt;0,0,$C$15)</f>
        <v>0</v>
      </c>
      <c r="E45" s="461" t="s">
        <v>41</v>
      </c>
      <c r="F45" s="462" t="s">
        <v>8</v>
      </c>
      <c r="G45" s="479"/>
      <c r="H45" s="479"/>
      <c r="I45" s="479"/>
      <c r="J45" s="479">
        <f>'Rider Rates'!$B$99</f>
        <v>0</v>
      </c>
      <c r="K45" s="464" t="s">
        <v>42</v>
      </c>
      <c r="L45" s="250"/>
      <c r="M45" s="250"/>
      <c r="N45" s="250"/>
      <c r="O45" s="250">
        <f>ROUND($D45*('Rider Rates'!B$99),2)</f>
        <v>0</v>
      </c>
      <c r="P45" s="458">
        <f>'Rider Rates'!$D$99</f>
        <v>44531</v>
      </c>
      <c r="Q45" s="490"/>
      <c r="R45" s="505"/>
      <c r="S45" s="522"/>
      <c r="T45" s="510"/>
      <c r="U45" s="433"/>
      <c r="V45" s="52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row>
    <row r="46" spans="1:221" x14ac:dyDescent="0.2">
      <c r="A46" s="477" t="s">
        <v>156</v>
      </c>
      <c r="B46" s="433"/>
      <c r="C46" s="433"/>
      <c r="D46" s="428">
        <f>$N$23</f>
        <v>825</v>
      </c>
      <c r="E46" s="461" t="s">
        <v>121</v>
      </c>
      <c r="F46" s="462" t="s">
        <v>8</v>
      </c>
      <c r="G46" s="489"/>
      <c r="H46" s="452"/>
      <c r="I46" s="488">
        <f>'Rider Rates'!$B$109</f>
        <v>0.211176</v>
      </c>
      <c r="J46" s="488">
        <f t="shared" si="0"/>
        <v>0.211176</v>
      </c>
      <c r="K46" s="464"/>
      <c r="L46" s="250"/>
      <c r="M46" s="250"/>
      <c r="N46" s="250">
        <f>ROUND(D46*I46,2)</f>
        <v>174.22</v>
      </c>
      <c r="O46" s="250">
        <f t="shared" si="2"/>
        <v>174.22</v>
      </c>
      <c r="P46" s="458">
        <f>'Rider Rates'!$D$109</f>
        <v>45532</v>
      </c>
      <c r="Q46" s="490"/>
      <c r="R46" s="505"/>
      <c r="S46" s="522"/>
      <c r="T46" s="510"/>
      <c r="U46" s="433"/>
      <c r="V46" s="52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row>
    <row r="47" spans="1:221" x14ac:dyDescent="0.2">
      <c r="A47" s="432" t="s">
        <v>217</v>
      </c>
      <c r="B47" s="433"/>
      <c r="C47" s="433"/>
      <c r="D47" s="428"/>
      <c r="E47" s="484" t="s">
        <v>114</v>
      </c>
      <c r="F47" s="490"/>
      <c r="G47" s="489"/>
      <c r="H47" s="452"/>
      <c r="I47" s="486">
        <f>'Rider Rates'!$B$113</f>
        <v>0</v>
      </c>
      <c r="J47" s="486">
        <f t="shared" si="0"/>
        <v>0</v>
      </c>
      <c r="K47" s="464"/>
      <c r="L47" s="250"/>
      <c r="M47" s="250"/>
      <c r="N47" s="250">
        <f>I47</f>
        <v>0</v>
      </c>
      <c r="O47" s="250">
        <f t="shared" si="2"/>
        <v>0</v>
      </c>
      <c r="P47" s="458">
        <f>'Rider Rates'!$D$113</f>
        <v>44894</v>
      </c>
      <c r="Q47" s="490"/>
      <c r="R47" s="505"/>
      <c r="S47" s="522"/>
      <c r="T47" s="510"/>
      <c r="U47" s="433"/>
      <c r="V47" s="52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row>
    <row r="48" spans="1:221" x14ac:dyDescent="0.2">
      <c r="A48" s="432" t="s">
        <v>225</v>
      </c>
      <c r="B48" s="433"/>
      <c r="C48" s="433"/>
      <c r="D48" s="428"/>
      <c r="E48" s="484" t="s">
        <v>114</v>
      </c>
      <c r="F48" s="490"/>
      <c r="G48" s="489"/>
      <c r="H48" s="452"/>
      <c r="I48" s="491">
        <f>'Rider Rates'!B126</f>
        <v>5.83</v>
      </c>
      <c r="J48" s="486">
        <f t="shared" si="0"/>
        <v>5.83</v>
      </c>
      <c r="K48" s="464"/>
      <c r="L48" s="250"/>
      <c r="M48" s="250"/>
      <c r="N48" s="492">
        <f>I48</f>
        <v>5.83</v>
      </c>
      <c r="O48" s="250">
        <f t="shared" si="2"/>
        <v>5.83</v>
      </c>
      <c r="P48" s="458">
        <f>'Rider Rates'!D126</f>
        <v>45226</v>
      </c>
      <c r="Q48" s="490"/>
      <c r="R48" s="505"/>
      <c r="S48" s="522"/>
      <c r="T48" s="510"/>
      <c r="U48" s="433"/>
      <c r="V48" s="52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row>
    <row r="49" spans="1:236" x14ac:dyDescent="0.2">
      <c r="A49" s="477" t="s">
        <v>157</v>
      </c>
      <c r="B49" s="433"/>
      <c r="C49" s="433"/>
      <c r="D49" s="460">
        <f>C16+C17</f>
        <v>0</v>
      </c>
      <c r="E49" s="461" t="s">
        <v>41</v>
      </c>
      <c r="F49" s="462" t="s">
        <v>8</v>
      </c>
      <c r="G49" s="479">
        <f>'Rider Rates'!B118</f>
        <v>3.6865999999999999E-3</v>
      </c>
      <c r="H49" s="479"/>
      <c r="I49" s="488"/>
      <c r="J49" s="482">
        <f>SUM(G49:H49)</f>
        <v>3.6865999999999999E-3</v>
      </c>
      <c r="K49" s="464" t="s">
        <v>42</v>
      </c>
      <c r="L49" s="250">
        <f>ROUND(D49*G49,2)</f>
        <v>0</v>
      </c>
      <c r="M49" s="250"/>
      <c r="N49" s="250"/>
      <c r="O49" s="250">
        <f t="shared" si="2"/>
        <v>0</v>
      </c>
      <c r="P49" s="458">
        <f>'Rider Rates'!$D$116</f>
        <v>44531</v>
      </c>
      <c r="Q49" s="490"/>
      <c r="R49" s="505"/>
      <c r="S49" s="522"/>
      <c r="T49" s="510"/>
      <c r="U49" s="433"/>
      <c r="V49" s="52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row>
    <row r="50" spans="1:236" x14ac:dyDescent="0.2">
      <c r="A50" s="432" t="s">
        <v>216</v>
      </c>
      <c r="B50" s="433"/>
      <c r="C50" s="433"/>
      <c r="D50" s="460">
        <f>IF($C$15&lt;1,0,$C$15)</f>
        <v>0</v>
      </c>
      <c r="E50" s="461" t="s">
        <v>41</v>
      </c>
      <c r="F50" s="454" t="s">
        <v>8</v>
      </c>
      <c r="G50" s="493"/>
      <c r="H50" s="493"/>
      <c r="I50" s="494">
        <f>'Rider Rates'!B122</f>
        <v>-6.2E-4</v>
      </c>
      <c r="J50" s="494">
        <f>SUM(G50:I50)</f>
        <v>-6.2E-4</v>
      </c>
      <c r="K50" s="464" t="s">
        <v>42</v>
      </c>
      <c r="L50" s="250"/>
      <c r="M50" s="250"/>
      <c r="N50" s="250">
        <f>D50*J50</f>
        <v>0</v>
      </c>
      <c r="O50" s="250">
        <f>SUM(L50:N50)</f>
        <v>0</v>
      </c>
      <c r="P50" s="458">
        <f>'Rider Rates'!D122</f>
        <v>44531</v>
      </c>
      <c r="Q50" s="490"/>
      <c r="R50" s="505"/>
      <c r="S50" s="522"/>
      <c r="T50" s="510"/>
      <c r="U50" s="433"/>
      <c r="V50" s="52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row>
    <row r="51" spans="1:236" x14ac:dyDescent="0.2">
      <c r="A51" s="433" t="s">
        <v>241</v>
      </c>
      <c r="B51" s="433"/>
      <c r="C51" s="433"/>
      <c r="D51" s="460">
        <f>IF(C15&lt;0,0,IF(C15&gt;833000,833000,C15))</f>
        <v>0</v>
      </c>
      <c r="E51" s="461" t="s">
        <v>41</v>
      </c>
      <c r="F51" s="462" t="s">
        <v>8</v>
      </c>
      <c r="G51" s="495"/>
      <c r="H51" s="495"/>
      <c r="I51" s="495">
        <f>'Rider Rates'!$B$130</f>
        <v>2.9050000000000001E-4</v>
      </c>
      <c r="J51" s="495">
        <f>SUM(G51:I51)</f>
        <v>2.9050000000000001E-4</v>
      </c>
      <c r="K51" s="464" t="s">
        <v>42</v>
      </c>
      <c r="L51" s="496"/>
      <c r="M51" s="496"/>
      <c r="N51" s="496">
        <f>IF(D51*J51&gt;'Rider Rates'!$C$130,'Rider Rates'!$C$130,D51*J51)</f>
        <v>0</v>
      </c>
      <c r="O51" s="496">
        <f>SUM(L51:N51)</f>
        <v>0</v>
      </c>
      <c r="P51" s="497">
        <f>'Rider Rates'!$E$130</f>
        <v>45292</v>
      </c>
      <c r="Q51" s="490"/>
      <c r="R51" s="505"/>
      <c r="S51" s="522"/>
      <c r="T51" s="510"/>
      <c r="U51" s="433"/>
      <c r="V51" s="52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row>
    <row r="52" spans="1:236" x14ac:dyDescent="0.2">
      <c r="A52" s="433" t="s">
        <v>242</v>
      </c>
      <c r="B52" s="433"/>
      <c r="C52" s="433"/>
      <c r="D52" s="427">
        <f>IF(C15&gt;833000,C15-833000,0)</f>
        <v>0</v>
      </c>
      <c r="E52" s="461" t="s">
        <v>41</v>
      </c>
      <c r="F52" s="462" t="s">
        <v>8</v>
      </c>
      <c r="G52" s="495"/>
      <c r="H52" s="495"/>
      <c r="I52" s="495">
        <f>'Rider Rates'!$B$131</f>
        <v>0</v>
      </c>
      <c r="J52" s="495">
        <f>SUM(G52:I52)</f>
        <v>0</v>
      </c>
      <c r="K52" s="464" t="s">
        <v>42</v>
      </c>
      <c r="L52" s="496"/>
      <c r="M52" s="496"/>
      <c r="N52" s="496">
        <f>D52*J52</f>
        <v>0</v>
      </c>
      <c r="O52" s="496">
        <f>SUM(L52:N52)</f>
        <v>0</v>
      </c>
      <c r="P52" s="497">
        <f>'Rider Rates'!$E$131</f>
        <v>44927</v>
      </c>
      <c r="Q52" s="490"/>
      <c r="R52" s="505"/>
      <c r="S52" s="522"/>
      <c r="T52" s="510"/>
      <c r="U52" s="433"/>
      <c r="V52" s="52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row>
    <row r="53" spans="1:236" x14ac:dyDescent="0.2">
      <c r="A53" s="483" t="s">
        <v>250</v>
      </c>
      <c r="B53" s="433"/>
      <c r="C53" s="433"/>
      <c r="D53" s="460">
        <f>C15</f>
        <v>0</v>
      </c>
      <c r="E53" s="461" t="s">
        <v>41</v>
      </c>
      <c r="F53" s="454" t="s">
        <v>8</v>
      </c>
      <c r="G53" s="479"/>
      <c r="H53" s="479"/>
      <c r="I53" s="479">
        <f>'Rider Rates'!$B$135</f>
        <v>0</v>
      </c>
      <c r="J53" s="482">
        <f>SUM(G53:I53)</f>
        <v>0</v>
      </c>
      <c r="K53" s="464" t="s">
        <v>42</v>
      </c>
      <c r="L53" s="250"/>
      <c r="M53" s="250"/>
      <c r="N53" s="250">
        <f>D53*J53</f>
        <v>0</v>
      </c>
      <c r="O53" s="250">
        <f>SUM(L53:N53)</f>
        <v>0</v>
      </c>
      <c r="P53" s="458">
        <f>'Rider Rates'!$D$135</f>
        <v>44531</v>
      </c>
      <c r="Q53" s="490"/>
      <c r="R53" s="505"/>
      <c r="S53" s="522"/>
      <c r="T53" s="510"/>
      <c r="U53" s="433"/>
      <c r="V53" s="52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row>
    <row r="54" spans="1:236" x14ac:dyDescent="0.2">
      <c r="A54" s="483" t="s">
        <v>249</v>
      </c>
      <c r="B54" s="433"/>
      <c r="C54" s="433"/>
      <c r="D54" s="460"/>
      <c r="E54" s="461" t="s">
        <v>114</v>
      </c>
      <c r="F54" s="462" t="s">
        <v>8</v>
      </c>
      <c r="G54" s="463"/>
      <c r="H54" s="463"/>
      <c r="I54" s="463">
        <f>'Rider Rates'!$B$142</f>
        <v>0</v>
      </c>
      <c r="J54" s="463">
        <f>SUM(G54:I54)</f>
        <v>0</v>
      </c>
      <c r="K54" s="464"/>
      <c r="L54" s="457"/>
      <c r="M54" s="457"/>
      <c r="N54" s="457">
        <f>J54</f>
        <v>0</v>
      </c>
      <c r="O54" s="457">
        <f>SUM(L54:N54)</f>
        <v>0</v>
      </c>
      <c r="P54" s="497">
        <f>'Rider Rates'!$D$142</f>
        <v>44531</v>
      </c>
      <c r="Q54" s="490"/>
      <c r="R54" s="505"/>
      <c r="S54" s="522"/>
      <c r="T54" s="510"/>
      <c r="U54" s="433"/>
      <c r="V54" s="52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row>
    <row r="55" spans="1:236" x14ac:dyDescent="0.2">
      <c r="A55" s="483" t="s">
        <v>251</v>
      </c>
      <c r="B55" s="433"/>
      <c r="C55" s="433"/>
      <c r="D55" s="460"/>
      <c r="E55" s="461"/>
      <c r="F55" s="462"/>
      <c r="G55" s="463"/>
      <c r="H55" s="463"/>
      <c r="I55" s="463"/>
      <c r="J55" s="463"/>
      <c r="K55" s="464"/>
      <c r="L55" s="457"/>
      <c r="M55" s="457"/>
      <c r="N55" s="457"/>
      <c r="O55" s="457"/>
      <c r="P55" s="497"/>
      <c r="Q55" s="490"/>
      <c r="R55" s="505"/>
      <c r="S55" s="522"/>
      <c r="T55" s="510"/>
      <c r="U55" s="433"/>
      <c r="V55" s="52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row>
    <row r="56" spans="1:236" x14ac:dyDescent="0.2">
      <c r="A56" s="498" t="s">
        <v>70</v>
      </c>
      <c r="B56" s="472"/>
      <c r="C56" s="472"/>
      <c r="D56" s="499"/>
      <c r="E56" s="500"/>
      <c r="F56" s="501"/>
      <c r="G56" s="501"/>
      <c r="H56" s="501"/>
      <c r="I56" s="501"/>
      <c r="J56" s="501"/>
      <c r="K56" s="502"/>
      <c r="L56" s="503">
        <f>SUM(L27:L55)</f>
        <v>0</v>
      </c>
      <c r="M56" s="503">
        <f>SUM(M27:M55)</f>
        <v>0</v>
      </c>
      <c r="N56" s="503">
        <f>SUM(N27:N55)</f>
        <v>271.48999999999995</v>
      </c>
      <c r="O56" s="503">
        <f>SUM(O27:O55)</f>
        <v>271.48999999999995</v>
      </c>
      <c r="P56" s="504"/>
      <c r="Q56" s="490"/>
      <c r="R56" s="505"/>
      <c r="S56" s="522"/>
      <c r="T56" s="510"/>
      <c r="U56" s="433"/>
      <c r="V56" s="52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row>
    <row r="57" spans="1:236" x14ac:dyDescent="0.2">
      <c r="A57" s="433"/>
      <c r="B57" s="433"/>
      <c r="C57" s="433"/>
      <c r="D57" s="460"/>
      <c r="E57" s="484"/>
      <c r="F57" s="490"/>
      <c r="G57" s="490"/>
      <c r="H57" s="490"/>
      <c r="I57" s="490"/>
      <c r="J57" s="505"/>
      <c r="K57" s="464"/>
      <c r="L57" s="490"/>
      <c r="M57" s="490"/>
      <c r="N57" s="490"/>
      <c r="O57" s="490"/>
      <c r="P57" s="506"/>
      <c r="Q57" s="490"/>
      <c r="R57" s="505"/>
      <c r="S57" s="522"/>
      <c r="T57" s="510"/>
      <c r="U57" s="433"/>
      <c r="V57" s="52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row>
    <row r="58" spans="1:236" x14ac:dyDescent="0.2">
      <c r="A58" s="507" t="s">
        <v>93</v>
      </c>
      <c r="B58" s="442"/>
      <c r="C58" s="442"/>
      <c r="D58" s="442"/>
      <c r="E58" s="442"/>
      <c r="F58" s="442"/>
      <c r="G58" s="442"/>
      <c r="H58" s="442"/>
      <c r="I58" s="442"/>
      <c r="J58" s="442"/>
      <c r="K58" s="442"/>
      <c r="L58" s="508">
        <f>L23+L56</f>
        <v>0</v>
      </c>
      <c r="M58" s="508">
        <f>M23+M56</f>
        <v>0</v>
      </c>
      <c r="N58" s="508">
        <f>N23+N56</f>
        <v>1096.49</v>
      </c>
      <c r="O58" s="509">
        <f>O23+O56</f>
        <v>1096.49</v>
      </c>
      <c r="P58" s="509"/>
      <c r="Q58" s="490"/>
      <c r="R58" s="524"/>
      <c r="S58" s="522"/>
      <c r="T58" s="510"/>
      <c r="U58" s="433"/>
      <c r="V58" s="522"/>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row>
    <row r="59" spans="1:236" x14ac:dyDescent="0.2">
      <c r="A59" s="433"/>
      <c r="B59" s="433"/>
      <c r="C59" s="433"/>
      <c r="D59" s="433"/>
      <c r="E59" s="433"/>
      <c r="F59" s="433"/>
      <c r="G59" s="433"/>
      <c r="H59" s="433"/>
      <c r="I59" s="433"/>
      <c r="J59" s="433"/>
      <c r="K59" s="433"/>
      <c r="L59" s="433"/>
      <c r="M59" s="433"/>
      <c r="Q59" s="473"/>
      <c r="R59" s="473"/>
      <c r="S59" s="473"/>
      <c r="T59" s="525"/>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row>
    <row r="60" spans="1:236" x14ac:dyDescent="0.2">
      <c r="A60" s="433"/>
      <c r="B60" s="433"/>
      <c r="C60" s="433"/>
      <c r="D60" s="433"/>
      <c r="E60" s="433"/>
      <c r="F60" s="433"/>
      <c r="G60" s="433"/>
      <c r="H60" s="433"/>
      <c r="I60" s="433"/>
      <c r="J60" s="433"/>
      <c r="K60" s="433"/>
      <c r="L60" s="433"/>
      <c r="M60" s="433"/>
      <c r="Q60" s="473"/>
      <c r="R60" s="473"/>
      <c r="S60" s="473"/>
      <c r="T60" s="525"/>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row>
    <row r="61" spans="1:236" x14ac:dyDescent="0.2">
      <c r="A61" s="473" t="s">
        <v>92</v>
      </c>
      <c r="B61" s="433"/>
      <c r="C61" s="433"/>
      <c r="D61" s="433"/>
      <c r="E61" s="433"/>
      <c r="F61" s="433"/>
      <c r="G61" s="433"/>
      <c r="H61" s="433"/>
      <c r="I61" s="433"/>
      <c r="J61" s="433"/>
      <c r="K61" s="433"/>
      <c r="L61" s="433"/>
      <c r="M61" s="433"/>
      <c r="N61" s="433"/>
      <c r="O61" s="510">
        <f>O21+O56</f>
        <v>1096.49</v>
      </c>
      <c r="Q61" s="473"/>
      <c r="R61" s="473"/>
      <c r="S61" s="473"/>
      <c r="T61" s="525"/>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row>
    <row r="62" spans="1:236" x14ac:dyDescent="0.2">
      <c r="A62" s="473" t="s">
        <v>15</v>
      </c>
      <c r="B62" s="473"/>
      <c r="C62" s="473"/>
      <c r="D62" s="473"/>
      <c r="E62" s="473"/>
      <c r="F62" s="473"/>
      <c r="G62" s="473"/>
      <c r="H62" s="473"/>
      <c r="I62" s="433"/>
      <c r="J62" s="433"/>
      <c r="K62" s="433"/>
      <c r="L62" s="433"/>
      <c r="M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row>
    <row r="63" spans="1:236" x14ac:dyDescent="0.2">
      <c r="A63" s="472" t="s">
        <v>116</v>
      </c>
      <c r="O63" s="511">
        <f>IF($D$17&lt;0,O58,IF(O58&gt;O61,O58,O61))</f>
        <v>1096.49</v>
      </c>
      <c r="P63" s="475"/>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row>
    <row r="64" spans="1:236" ht="15" customHeight="1" x14ac:dyDescent="0.2">
      <c r="A64" s="472"/>
      <c r="O64" s="511"/>
      <c r="P64" s="475"/>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row>
    <row r="65" spans="1:222" x14ac:dyDescent="0.2">
      <c r="A65" s="472"/>
      <c r="B65" s="473"/>
      <c r="C65" s="473"/>
      <c r="D65" s="473"/>
      <c r="E65" s="473"/>
      <c r="F65" s="473"/>
      <c r="G65" s="473"/>
      <c r="H65" s="473"/>
      <c r="I65" s="473" t="s">
        <v>120</v>
      </c>
      <c r="J65" s="473"/>
      <c r="K65" s="473"/>
      <c r="L65" s="512"/>
      <c r="M65" s="512"/>
      <c r="N65" s="512"/>
      <c r="O65" s="512">
        <f>ROUND(IF($C$15&lt;1,0,O58/($C$15*100)*10000),2)</f>
        <v>0</v>
      </c>
      <c r="P65" s="465" t="s">
        <v>86</v>
      </c>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HE65" s="433"/>
      <c r="HF65" s="433"/>
      <c r="HG65" s="433"/>
      <c r="HH65" s="433"/>
      <c r="HI65" s="433"/>
      <c r="HJ65" s="433"/>
      <c r="HK65" s="433"/>
      <c r="HL65" s="433"/>
      <c r="HM65" s="433"/>
      <c r="HN65" s="433"/>
    </row>
    <row r="66" spans="1:222" x14ac:dyDescent="0.2">
      <c r="B66" s="433"/>
      <c r="C66" s="433"/>
      <c r="D66" s="433"/>
      <c r="E66" s="433"/>
      <c r="F66" s="433"/>
      <c r="G66" s="433"/>
      <c r="H66" s="513"/>
      <c r="I66" s="514" t="s">
        <v>198</v>
      </c>
      <c r="J66" s="433"/>
      <c r="K66" s="433"/>
      <c r="L66" s="433"/>
      <c r="M66" s="433"/>
      <c r="N66" s="433"/>
      <c r="O66" s="515">
        <f>ROUND(IF($C$15&lt;1,0,(L58)/($C$15*100)*10000),2)</f>
        <v>0</v>
      </c>
      <c r="P66" s="436" t="s">
        <v>86</v>
      </c>
      <c r="Q66" s="433"/>
      <c r="R66" s="433"/>
      <c r="S66" s="433"/>
      <c r="T66" s="433"/>
      <c r="U66" s="433"/>
      <c r="V66" s="433"/>
      <c r="W66" s="433"/>
      <c r="X66" s="433"/>
      <c r="Y66" s="433"/>
      <c r="Z66" s="433"/>
      <c r="AA66" s="433"/>
      <c r="AB66" s="433"/>
      <c r="AC66" s="433"/>
      <c r="AD66" s="433"/>
      <c r="AE66" s="433"/>
      <c r="AF66" s="433"/>
      <c r="AG66" s="433"/>
      <c r="AH66" s="433"/>
      <c r="AI66" s="433"/>
      <c r="AJ66" s="433"/>
      <c r="AK66" s="433"/>
    </row>
  </sheetData>
  <sheetProtection algorithmName="SHA-512" hashValue="rQeAk/I/zhw74utCEXkkwBua2UWRvkK9+EIBuifP09uhVWoPzbnc7padUQb9d5AXLc7J0RCAMTH4UxpyyjPCAA==" saltValue="UddZ7oeP+KTcrmhi4oNWL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8417"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88418"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88419"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88420"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88421"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88422"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IV95"/>
  <sheetViews>
    <sheetView showGridLines="0" topLeftCell="A20" zoomScale="80" zoomScaleNormal="80" workbookViewId="0">
      <selection activeCell="D40" sqref="D40"/>
    </sheetView>
  </sheetViews>
  <sheetFormatPr defaultColWidth="9.140625" defaultRowHeight="12.75" x14ac:dyDescent="0.2"/>
  <cols>
    <col min="1" max="1" width="31" style="298" customWidth="1"/>
    <col min="2" max="2" width="2.140625" style="298" customWidth="1"/>
    <col min="3" max="3" width="19.42578125" style="298" customWidth="1"/>
    <col min="4" max="4" width="15.42578125" style="298" customWidth="1"/>
    <col min="5" max="5" width="9.85546875" style="298" customWidth="1"/>
    <col min="6" max="6" width="3.5703125" style="298" customWidth="1"/>
    <col min="7" max="8" width="13.42578125" style="298" customWidth="1"/>
    <col min="9" max="9" width="14.5703125" style="298" customWidth="1"/>
    <col min="10" max="10" width="13.42578125" style="298" customWidth="1"/>
    <col min="11" max="11" width="7" style="298" customWidth="1"/>
    <col min="12" max="12" width="15.140625" style="298" customWidth="1"/>
    <col min="13" max="14" width="14.42578125" style="298" customWidth="1"/>
    <col min="15" max="15" width="16.42578125" style="298" bestFit="1" customWidth="1"/>
    <col min="16" max="16" width="13.85546875" style="298" bestFit="1" customWidth="1"/>
    <col min="17" max="17" width="9.140625" style="298"/>
    <col min="18" max="26" width="9.140625" style="298" hidden="1" customWidth="1"/>
    <col min="27" max="27" width="10.5703125" style="298" hidden="1" customWidth="1"/>
    <col min="28" max="29" width="9.140625" style="298" hidden="1" customWidth="1"/>
    <col min="30" max="30" width="10" style="298" hidden="1" customWidth="1"/>
    <col min="31" max="16384" width="9.140625" style="298"/>
  </cols>
  <sheetData>
    <row r="1" spans="1:256" ht="20.25" x14ac:dyDescent="0.3">
      <c r="A1" s="585" t="s">
        <v>119</v>
      </c>
      <c r="B1" s="585"/>
      <c r="C1" s="585"/>
      <c r="D1" s="585"/>
      <c r="E1" s="585"/>
      <c r="F1" s="585"/>
      <c r="G1" s="585"/>
      <c r="H1" s="585"/>
      <c r="I1" s="585"/>
      <c r="J1" s="585"/>
      <c r="K1" s="585"/>
      <c r="L1" s="585"/>
      <c r="M1" s="585"/>
      <c r="N1" s="585"/>
      <c r="O1" s="585"/>
      <c r="P1" s="585"/>
    </row>
    <row r="2" spans="1:256" ht="20.25" x14ac:dyDescent="0.3">
      <c r="A2" s="578" t="s">
        <v>122</v>
      </c>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c r="BB2" s="578"/>
      <c r="BC2" s="578"/>
      <c r="BD2" s="578"/>
      <c r="BE2" s="578"/>
      <c r="BF2" s="578"/>
      <c r="BG2" s="578"/>
      <c r="BH2" s="578"/>
      <c r="BI2" s="578"/>
      <c r="BJ2" s="578"/>
      <c r="BK2" s="578"/>
      <c r="BL2" s="578"/>
      <c r="BM2" s="578"/>
      <c r="BN2" s="578"/>
      <c r="BO2" s="578"/>
      <c r="BP2" s="578"/>
      <c r="BQ2" s="578"/>
      <c r="BR2" s="578"/>
      <c r="BS2" s="578"/>
      <c r="BT2" s="578"/>
      <c r="BU2" s="578"/>
      <c r="BV2" s="578"/>
      <c r="BW2" s="578"/>
      <c r="BX2" s="578"/>
      <c r="BY2" s="578"/>
      <c r="BZ2" s="578"/>
      <c r="CA2" s="578"/>
      <c r="CB2" s="578"/>
      <c r="CC2" s="578"/>
      <c r="CD2" s="578"/>
      <c r="CE2" s="578"/>
      <c r="CF2" s="578"/>
      <c r="CG2" s="578"/>
      <c r="CH2" s="578"/>
      <c r="CI2" s="578"/>
      <c r="CJ2" s="578"/>
      <c r="CK2" s="578"/>
      <c r="CL2" s="578"/>
      <c r="CM2" s="578"/>
      <c r="CN2" s="578"/>
      <c r="CO2" s="578"/>
      <c r="CP2" s="578"/>
      <c r="CQ2" s="578"/>
      <c r="CR2" s="578"/>
      <c r="CS2" s="578"/>
      <c r="CT2" s="578"/>
      <c r="CU2" s="578"/>
      <c r="CV2" s="578"/>
      <c r="CW2" s="578"/>
      <c r="CX2" s="578"/>
      <c r="CY2" s="578"/>
      <c r="CZ2" s="578"/>
      <c r="DA2" s="578"/>
      <c r="DB2" s="578"/>
      <c r="DC2" s="578"/>
      <c r="DD2" s="578"/>
      <c r="DE2" s="578"/>
      <c r="DF2" s="578"/>
      <c r="DG2" s="578"/>
      <c r="DH2" s="578"/>
      <c r="DI2" s="578"/>
      <c r="DJ2" s="578"/>
      <c r="DK2" s="578"/>
      <c r="DL2" s="578"/>
      <c r="DM2" s="578"/>
      <c r="DN2" s="578"/>
      <c r="DO2" s="578"/>
      <c r="DP2" s="578"/>
      <c r="DQ2" s="578"/>
      <c r="DR2" s="578"/>
      <c r="DS2" s="578"/>
      <c r="DT2" s="578"/>
      <c r="DU2" s="578"/>
      <c r="DV2" s="578"/>
      <c r="DW2" s="578"/>
      <c r="DX2" s="578"/>
      <c r="DY2" s="578"/>
      <c r="DZ2" s="578"/>
      <c r="EA2" s="578"/>
      <c r="EB2" s="578"/>
      <c r="EC2" s="578"/>
      <c r="ED2" s="578"/>
      <c r="EE2" s="578"/>
      <c r="EF2" s="578"/>
      <c r="EG2" s="578"/>
      <c r="EH2" s="578"/>
      <c r="EI2" s="578"/>
      <c r="EJ2" s="578"/>
      <c r="EK2" s="578"/>
      <c r="EL2" s="578"/>
      <c r="EM2" s="578"/>
      <c r="EN2" s="578"/>
      <c r="EO2" s="578"/>
      <c r="EP2" s="578"/>
      <c r="EQ2" s="578"/>
      <c r="ER2" s="578"/>
      <c r="ES2" s="578"/>
      <c r="ET2" s="578"/>
      <c r="EU2" s="578"/>
      <c r="EV2" s="578"/>
      <c r="EW2" s="578"/>
      <c r="EX2" s="578"/>
      <c r="EY2" s="578"/>
      <c r="EZ2" s="578"/>
      <c r="FA2" s="578"/>
      <c r="FB2" s="578"/>
      <c r="FC2" s="578"/>
      <c r="FD2" s="578"/>
      <c r="FE2" s="578"/>
      <c r="FF2" s="578"/>
      <c r="FG2" s="578"/>
      <c r="FH2" s="578"/>
      <c r="FI2" s="578"/>
      <c r="FJ2" s="578"/>
      <c r="FK2" s="578"/>
      <c r="FL2" s="578"/>
      <c r="FM2" s="578"/>
      <c r="FN2" s="578"/>
      <c r="FO2" s="578"/>
      <c r="FP2" s="578"/>
      <c r="FQ2" s="578"/>
      <c r="FR2" s="578"/>
      <c r="FS2" s="578"/>
      <c r="FT2" s="578"/>
      <c r="FU2" s="578"/>
      <c r="FV2" s="578"/>
      <c r="FW2" s="578"/>
      <c r="FX2" s="578"/>
      <c r="FY2" s="578"/>
      <c r="FZ2" s="578"/>
      <c r="GA2" s="578"/>
      <c r="GB2" s="578"/>
      <c r="GC2" s="578"/>
      <c r="GD2" s="578"/>
      <c r="GE2" s="578"/>
      <c r="GF2" s="578"/>
      <c r="GG2" s="578"/>
      <c r="GH2" s="578"/>
      <c r="GI2" s="578"/>
      <c r="GJ2" s="578"/>
      <c r="GK2" s="578"/>
      <c r="GL2" s="578"/>
      <c r="GM2" s="578"/>
      <c r="GN2" s="578"/>
      <c r="GO2" s="578"/>
      <c r="GP2" s="578"/>
      <c r="GQ2" s="578"/>
      <c r="GR2" s="578"/>
      <c r="GS2" s="578"/>
      <c r="GT2" s="578"/>
      <c r="GU2" s="578"/>
      <c r="GV2" s="578"/>
      <c r="GW2" s="578"/>
      <c r="GX2" s="578"/>
      <c r="GY2" s="578"/>
      <c r="GZ2" s="578"/>
      <c r="HA2" s="578"/>
      <c r="HB2" s="578"/>
      <c r="HC2" s="578"/>
      <c r="HD2" s="578"/>
      <c r="HE2" s="578"/>
      <c r="HF2" s="578"/>
      <c r="HG2" s="578"/>
      <c r="HH2" s="578"/>
      <c r="HI2" s="578"/>
      <c r="HJ2" s="578"/>
      <c r="HK2" s="578"/>
      <c r="HL2" s="578"/>
      <c r="HM2" s="578"/>
      <c r="HN2" s="578"/>
      <c r="HO2" s="578"/>
      <c r="HP2" s="578"/>
      <c r="HQ2" s="578"/>
      <c r="HR2" s="578"/>
      <c r="HS2" s="578"/>
      <c r="HT2" s="578"/>
      <c r="HU2" s="578"/>
      <c r="HV2" s="578"/>
      <c r="HW2" s="578"/>
      <c r="HX2" s="578"/>
      <c r="HY2" s="578"/>
      <c r="HZ2" s="578"/>
      <c r="IA2" s="578"/>
      <c r="IB2" s="578"/>
      <c r="IC2" s="578"/>
      <c r="ID2" s="578"/>
      <c r="IE2" s="578"/>
      <c r="IF2" s="578"/>
      <c r="IG2" s="578"/>
      <c r="IH2" s="578"/>
      <c r="II2" s="578"/>
      <c r="IJ2" s="578"/>
      <c r="IK2" s="578"/>
      <c r="IL2" s="578"/>
      <c r="IM2" s="578"/>
      <c r="IN2" s="578"/>
      <c r="IO2" s="578"/>
      <c r="IP2" s="578"/>
      <c r="IQ2" s="578"/>
      <c r="IR2" s="578"/>
      <c r="IS2" s="578"/>
      <c r="IT2" s="578"/>
      <c r="IU2" s="578"/>
      <c r="IV2" s="578"/>
    </row>
    <row r="3" spans="1:256" ht="18" x14ac:dyDescent="0.25">
      <c r="A3" s="586" t="s">
        <v>267</v>
      </c>
      <c r="B3" s="586"/>
      <c r="C3" s="586"/>
      <c r="D3" s="586"/>
      <c r="E3" s="586"/>
      <c r="F3" s="586"/>
      <c r="G3" s="586"/>
      <c r="H3" s="586"/>
      <c r="I3" s="586"/>
      <c r="J3" s="586"/>
      <c r="K3" s="586"/>
      <c r="L3" s="586"/>
      <c r="M3" s="586"/>
      <c r="N3" s="586"/>
      <c r="O3" s="586"/>
      <c r="P3" s="586"/>
    </row>
    <row r="4" spans="1:256" ht="15.75" x14ac:dyDescent="0.25">
      <c r="A4" s="587" t="s">
        <v>94</v>
      </c>
      <c r="B4" s="587"/>
      <c r="C4" s="587"/>
      <c r="D4" s="587"/>
      <c r="E4" s="587"/>
      <c r="F4" s="587"/>
      <c r="G4" s="587"/>
      <c r="H4" s="587"/>
      <c r="I4" s="587"/>
      <c r="J4" s="587"/>
      <c r="K4" s="587"/>
      <c r="L4" s="587"/>
      <c r="M4" s="587"/>
      <c r="N4" s="587"/>
      <c r="O4" s="587"/>
      <c r="P4" s="587"/>
    </row>
    <row r="5" spans="1:256" ht="15" x14ac:dyDescent="0.2">
      <c r="A5" s="373"/>
      <c r="B5" s="373"/>
      <c r="C5" s="373"/>
      <c r="D5" s="373"/>
      <c r="E5" s="373"/>
      <c r="F5" s="373"/>
      <c r="G5" s="373"/>
      <c r="H5" s="373"/>
      <c r="I5" s="373"/>
      <c r="J5" s="373"/>
      <c r="K5" s="373"/>
    </row>
    <row r="6" spans="1:256" x14ac:dyDescent="0.2">
      <c r="A6" s="372">
        <f ca="1">TODAY()</f>
        <v>45532</v>
      </c>
      <c r="B6" s="338" t="s">
        <v>264</v>
      </c>
      <c r="C6" s="372"/>
      <c r="D6" s="372"/>
      <c r="E6" s="372"/>
      <c r="F6" s="372"/>
      <c r="G6" s="372"/>
      <c r="H6" s="372"/>
      <c r="I6" s="372"/>
    </row>
    <row r="7" spans="1:256" ht="26.25" x14ac:dyDescent="0.4">
      <c r="A7" s="579"/>
      <c r="B7" s="579"/>
      <c r="C7" s="579"/>
      <c r="D7" s="579"/>
      <c r="E7" s="579"/>
      <c r="F7" s="579"/>
      <c r="G7" s="579"/>
      <c r="H7" s="579"/>
      <c r="I7" s="579"/>
      <c r="J7" s="579"/>
      <c r="K7" s="579"/>
      <c r="L7" s="579"/>
      <c r="M7" s="579"/>
      <c r="N7" s="579"/>
      <c r="O7" s="579"/>
      <c r="P7" s="579"/>
    </row>
    <row r="8" spans="1:256" ht="15" x14ac:dyDescent="0.2">
      <c r="A8" s="362" t="s">
        <v>2</v>
      </c>
      <c r="B8" s="369"/>
      <c r="C8" s="25">
        <f>'Customer Info'!B7</f>
        <v>0</v>
      </c>
      <c r="D8"/>
      <c r="I8" s="371"/>
    </row>
    <row r="9" spans="1:256" ht="15" x14ac:dyDescent="0.2">
      <c r="A9" s="370" t="s">
        <v>26</v>
      </c>
      <c r="B9" s="369"/>
      <c r="C9" s="25">
        <f>'Customer Info'!B8</f>
        <v>0</v>
      </c>
      <c r="D9"/>
    </row>
    <row r="10" spans="1:256" x14ac:dyDescent="0.2">
      <c r="A10" s="362" t="s">
        <v>3</v>
      </c>
      <c r="B10" s="200">
        <f>'Customer Info'!B9</f>
        <v>9</v>
      </c>
      <c r="C10" s="194" t="str">
        <f>LOOKUP(B10,R10:AD10,R11:AD11)</f>
        <v>September</v>
      </c>
      <c r="D10" s="133">
        <f>'Customer Info'!C9</f>
        <v>2024</v>
      </c>
      <c r="S10" s="298">
        <v>1</v>
      </c>
      <c r="T10" s="298">
        <v>2</v>
      </c>
      <c r="U10" s="298">
        <v>3</v>
      </c>
      <c r="V10" s="298">
        <v>4</v>
      </c>
      <c r="W10" s="298">
        <v>5</v>
      </c>
      <c r="X10" s="298">
        <v>6</v>
      </c>
      <c r="Y10" s="298">
        <v>7</v>
      </c>
      <c r="Z10" s="298">
        <v>8</v>
      </c>
      <c r="AA10" s="298">
        <v>9</v>
      </c>
      <c r="AB10" s="298">
        <v>10</v>
      </c>
      <c r="AC10" s="298">
        <v>11</v>
      </c>
      <c r="AD10" s="298">
        <v>12</v>
      </c>
    </row>
    <row r="11" spans="1:256" ht="15" customHeight="1" x14ac:dyDescent="0.2">
      <c r="A11" s="589"/>
      <c r="B11" s="589"/>
      <c r="C11" s="589"/>
      <c r="D11" s="589"/>
      <c r="E11" s="589"/>
      <c r="F11" s="589"/>
      <c r="G11" s="589"/>
      <c r="H11" s="589"/>
      <c r="I11" s="589"/>
      <c r="R11" s="298" t="s">
        <v>114</v>
      </c>
      <c r="S11" s="368" t="s">
        <v>101</v>
      </c>
      <c r="T11" s="368" t="s">
        <v>102</v>
      </c>
      <c r="U11" s="368" t="s">
        <v>103</v>
      </c>
      <c r="V11" s="368" t="s">
        <v>104</v>
      </c>
      <c r="W11" s="368" t="s">
        <v>105</v>
      </c>
      <c r="X11" s="368" t="s">
        <v>106</v>
      </c>
      <c r="Y11" s="368" t="s">
        <v>107</v>
      </c>
      <c r="Z11" s="368" t="s">
        <v>108</v>
      </c>
      <c r="AA11" s="368" t="s">
        <v>109</v>
      </c>
      <c r="AB11" s="368" t="s">
        <v>111</v>
      </c>
      <c r="AC11" s="368" t="s">
        <v>110</v>
      </c>
      <c r="AD11" s="368" t="s">
        <v>112</v>
      </c>
    </row>
    <row r="12" spans="1:256" x14ac:dyDescent="0.2">
      <c r="A12" s="360" t="s">
        <v>27</v>
      </c>
      <c r="B12" s="359"/>
      <c r="C12" s="359"/>
      <c r="D12" s="359"/>
      <c r="E12" s="359"/>
      <c r="F12" s="359"/>
      <c r="G12" s="359"/>
      <c r="H12" s="359"/>
      <c r="I12" s="359"/>
      <c r="J12" s="359"/>
      <c r="K12" s="359"/>
      <c r="L12" s="359"/>
      <c r="M12" s="359"/>
      <c r="N12" s="359"/>
      <c r="O12" s="359"/>
      <c r="P12" s="359"/>
      <c r="R12" s="308" t="s">
        <v>195</v>
      </c>
      <c r="S12" s="364">
        <v>3.1399999999999997E-2</v>
      </c>
      <c r="T12" s="364">
        <v>3.1399999999999997E-2</v>
      </c>
      <c r="U12" s="364">
        <v>3.1399999999999997E-2</v>
      </c>
      <c r="V12" s="364">
        <v>3.1399999999999997E-2</v>
      </c>
      <c r="W12" s="364">
        <v>3.1399999999999997E-2</v>
      </c>
      <c r="X12" s="364">
        <v>3.1399999999999997E-2</v>
      </c>
      <c r="Y12" s="364">
        <v>3.1399999999999997E-2</v>
      </c>
      <c r="Z12" s="364">
        <v>3.1399999999999997E-2</v>
      </c>
      <c r="AA12" s="364">
        <v>3.1399999999999997E-2</v>
      </c>
      <c r="AB12" s="364">
        <v>3.1399999999999997E-2</v>
      </c>
      <c r="AC12" s="364">
        <v>3.1399999999999997E-2</v>
      </c>
      <c r="AD12" s="364">
        <v>3.1399999999999997E-2</v>
      </c>
    </row>
    <row r="13" spans="1:256" x14ac:dyDescent="0.2">
      <c r="A13" s="357"/>
      <c r="B13" s="357"/>
      <c r="C13" s="367" t="s">
        <v>54</v>
      </c>
      <c r="D13" s="367" t="s">
        <v>55</v>
      </c>
      <c r="E13" s="357"/>
      <c r="F13" s="357"/>
      <c r="G13" s="357"/>
      <c r="H13" s="357"/>
      <c r="I13" s="357"/>
      <c r="J13" s="357"/>
      <c r="K13" s="357"/>
      <c r="L13" s="357"/>
      <c r="M13" s="357"/>
      <c r="N13" s="357"/>
      <c r="O13" s="357"/>
    </row>
    <row r="14" spans="1:256" x14ac:dyDescent="0.2">
      <c r="A14" s="353" t="s">
        <v>28</v>
      </c>
      <c r="B14" s="353"/>
      <c r="C14" s="44">
        <f>'Customer Info'!B19</f>
        <v>0</v>
      </c>
      <c r="D14" s="44">
        <f>ROUND(C14*C20,1)</f>
        <v>0</v>
      </c>
      <c r="E14" s="353" t="s">
        <v>45</v>
      </c>
      <c r="F14" s="366"/>
      <c r="G14" s="353" t="s">
        <v>15</v>
      </c>
      <c r="I14" s="53" t="s">
        <v>15</v>
      </c>
      <c r="J14" s="353"/>
      <c r="K14" s="353"/>
      <c r="L14" s="353"/>
      <c r="M14" s="353"/>
      <c r="N14" s="353"/>
    </row>
    <row r="15" spans="1:256" x14ac:dyDescent="0.2">
      <c r="A15" s="361" t="s">
        <v>29</v>
      </c>
      <c r="B15" s="361"/>
      <c r="C15" s="44">
        <f>'Customer Info'!B20</f>
        <v>0</v>
      </c>
      <c r="D15" s="44">
        <f>C15*C20</f>
        <v>0</v>
      </c>
      <c r="E15" s="353" t="s">
        <v>45</v>
      </c>
      <c r="F15" s="363"/>
      <c r="G15" s="361" t="s">
        <v>30</v>
      </c>
      <c r="I15" s="365" t="str">
        <f>IF(MAX(C14,C15)&gt;0,C16/(MAX(C14,C15)*730), " ")</f>
        <v xml:space="preserve"> </v>
      </c>
      <c r="J15" s="361"/>
      <c r="K15" s="361"/>
      <c r="L15" s="361"/>
      <c r="M15" s="361"/>
      <c r="N15" s="361"/>
      <c r="X15" s="364"/>
      <c r="Y15" s="364"/>
      <c r="Z15" s="364"/>
      <c r="AA15" s="364"/>
    </row>
    <row r="16" spans="1:256" x14ac:dyDescent="0.2">
      <c r="A16" s="361" t="s">
        <v>43</v>
      </c>
      <c r="B16" s="361"/>
      <c r="C16" s="32">
        <f>IF('Customer Info'!B22+'Customer Info'!B23-'Customer Info'!B24&lt;0,0,'Customer Info'!B22+'Customer Info'!B23-'Customer Info'!B24)</f>
        <v>0</v>
      </c>
      <c r="D16" s="32">
        <f>C16*C20</f>
        <v>0</v>
      </c>
      <c r="E16" s="361" t="s">
        <v>41</v>
      </c>
      <c r="F16" s="363"/>
      <c r="G16" s="361"/>
      <c r="H16" s="361"/>
      <c r="I16" s="361"/>
      <c r="J16" s="361"/>
      <c r="K16" s="361"/>
      <c r="L16" s="361"/>
      <c r="M16" s="361"/>
      <c r="N16" s="361"/>
      <c r="O16" s="361"/>
    </row>
    <row r="17" spans="1:30" x14ac:dyDescent="0.2">
      <c r="A17" s="361" t="s">
        <v>293</v>
      </c>
      <c r="B17" s="361"/>
      <c r="C17" s="32">
        <f>'Customer Info'!$B$28</f>
        <v>0</v>
      </c>
      <c r="D17" s="32">
        <f>$C$17*$C$20</f>
        <v>0</v>
      </c>
      <c r="E17" s="361" t="s">
        <v>296</v>
      </c>
      <c r="F17" s="363"/>
      <c r="K17" s="361"/>
      <c r="L17" s="361"/>
      <c r="M17" s="361"/>
      <c r="N17" s="361"/>
    </row>
    <row r="18" spans="1:30" x14ac:dyDescent="0.2">
      <c r="A18" s="361" t="s">
        <v>294</v>
      </c>
      <c r="B18" s="361"/>
      <c r="C18" s="374">
        <f>IF('Customer Info'!$B$19=0,0,ROUND(MAX(ROUND('Customer Info'!$B$19*'GS PRI'!C20,1),ROUND('Customer Info'!$B$20*'GS PRI'!C20,1))/'Customer Info'!$D$30,1))</f>
        <v>0</v>
      </c>
      <c r="D18" s="285">
        <f>$C$18</f>
        <v>0</v>
      </c>
      <c r="E18" s="361" t="s">
        <v>297</v>
      </c>
      <c r="F18" s="363"/>
      <c r="K18" s="361"/>
      <c r="L18" s="361"/>
      <c r="M18" s="361"/>
      <c r="N18" s="361"/>
    </row>
    <row r="19" spans="1:30" x14ac:dyDescent="0.2">
      <c r="A19" s="361" t="s">
        <v>295</v>
      </c>
      <c r="B19" s="361"/>
      <c r="C19" s="32"/>
      <c r="D19" s="374">
        <f>MAX(100,ROUND(1.15*(MAX('Customer Info'!$B$19*'GS PRI'!C20,'Customer Info'!$B$20*'GS PRI'!C20)),1))</f>
        <v>100</v>
      </c>
      <c r="E19" s="361" t="s">
        <v>297</v>
      </c>
      <c r="F19" s="363"/>
      <c r="K19" s="361"/>
      <c r="L19" s="361"/>
      <c r="M19" s="361"/>
      <c r="N19" s="361"/>
    </row>
    <row r="20" spans="1:30" x14ac:dyDescent="0.2">
      <c r="A20" s="361" t="s">
        <v>53</v>
      </c>
      <c r="B20" s="361"/>
      <c r="C20" s="58">
        <f>+'Customer Info'!E19</f>
        <v>1</v>
      </c>
      <c r="D20" s="31"/>
      <c r="E20" s="361"/>
      <c r="F20" s="363"/>
      <c r="G20" s="362"/>
      <c r="H20" s="362"/>
      <c r="I20" s="362"/>
      <c r="J20" s="362"/>
      <c r="K20" s="361"/>
      <c r="L20" s="361"/>
      <c r="M20" s="361"/>
      <c r="N20" s="361"/>
      <c r="S20" s="364"/>
      <c r="T20" s="364"/>
      <c r="U20" s="364"/>
      <c r="V20" s="364"/>
      <c r="W20" s="364"/>
      <c r="X20" s="364"/>
      <c r="Y20" s="364"/>
      <c r="Z20" s="364"/>
      <c r="AA20" s="364"/>
      <c r="AB20" s="364"/>
      <c r="AC20" s="364"/>
      <c r="AD20" s="364"/>
    </row>
    <row r="21" spans="1:30" x14ac:dyDescent="0.2">
      <c r="A21" s="361" t="s">
        <v>15</v>
      </c>
      <c r="B21" s="361"/>
      <c r="C21" s="82" t="s">
        <v>15</v>
      </c>
      <c r="D21" s="581" t="s">
        <v>15</v>
      </c>
      <c r="E21" s="581"/>
      <c r="F21" s="581"/>
      <c r="G21" s="581"/>
      <c r="H21" s="581"/>
      <c r="K21" s="361"/>
      <c r="L21" s="361"/>
      <c r="M21" s="361"/>
      <c r="N21" s="361"/>
      <c r="O21" s="50"/>
    </row>
    <row r="22" spans="1:30" x14ac:dyDescent="0.2">
      <c r="A22" s="361" t="s">
        <v>15</v>
      </c>
      <c r="B22" s="361"/>
      <c r="C22" s="82" t="s">
        <v>15</v>
      </c>
      <c r="D22" s="581" t="s">
        <v>15</v>
      </c>
      <c r="E22" s="581"/>
      <c r="F22" s="581"/>
      <c r="G22" s="581"/>
      <c r="H22" s="581"/>
      <c r="I22" s="362"/>
      <c r="J22" s="362"/>
      <c r="K22" s="361"/>
      <c r="L22" s="361"/>
      <c r="M22" s="361"/>
      <c r="N22" s="361"/>
      <c r="O22" s="50"/>
    </row>
    <row r="23" spans="1:30" x14ac:dyDescent="0.2">
      <c r="A23" s="361"/>
      <c r="B23" s="361"/>
      <c r="C23" s="363"/>
      <c r="D23" s="363"/>
      <c r="E23" s="363"/>
      <c r="F23" s="363"/>
      <c r="G23" s="362"/>
      <c r="H23" s="362"/>
      <c r="I23" s="362"/>
      <c r="J23" s="362"/>
      <c r="K23" s="361"/>
      <c r="L23" s="361"/>
      <c r="M23" s="361"/>
      <c r="N23" s="361"/>
      <c r="O23" s="361"/>
    </row>
    <row r="24" spans="1:30" x14ac:dyDescent="0.2">
      <c r="A24" s="360" t="s">
        <v>31</v>
      </c>
      <c r="B24" s="359"/>
      <c r="C24" s="359"/>
      <c r="D24" s="359"/>
      <c r="E24" s="359"/>
      <c r="F24" s="359"/>
      <c r="G24" s="582" t="s">
        <v>67</v>
      </c>
      <c r="H24" s="583"/>
      <c r="I24" s="583"/>
      <c r="J24" s="584"/>
      <c r="K24" s="359"/>
      <c r="L24" s="588" t="s">
        <v>68</v>
      </c>
      <c r="M24" s="588"/>
      <c r="N24" s="588"/>
      <c r="O24" s="588"/>
    </row>
    <row r="25" spans="1:30" x14ac:dyDescent="0.2">
      <c r="A25" s="357"/>
      <c r="B25" s="357"/>
      <c r="C25" s="357"/>
      <c r="D25" s="357"/>
      <c r="E25" s="357"/>
      <c r="F25" s="357"/>
      <c r="G25" s="358" t="s">
        <v>64</v>
      </c>
      <c r="H25" s="358" t="s">
        <v>65</v>
      </c>
      <c r="I25" s="358" t="s">
        <v>66</v>
      </c>
      <c r="J25" s="346" t="s">
        <v>34</v>
      </c>
      <c r="K25" s="357"/>
      <c r="L25" s="375" t="s">
        <v>64</v>
      </c>
      <c r="M25" s="375" t="s">
        <v>65</v>
      </c>
      <c r="N25" s="375" t="s">
        <v>66</v>
      </c>
      <c r="O25" s="356" t="s">
        <v>34</v>
      </c>
      <c r="P25" s="355" t="s">
        <v>56</v>
      </c>
    </row>
    <row r="26" spans="1:30" x14ac:dyDescent="0.2">
      <c r="A26" s="298" t="s">
        <v>32</v>
      </c>
      <c r="G26" s="86"/>
      <c r="H26" s="86"/>
      <c r="I26" s="86">
        <v>9.4</v>
      </c>
      <c r="J26" s="86">
        <f>SUM(G26:I26)</f>
        <v>9.4</v>
      </c>
      <c r="L26" s="354"/>
      <c r="M26" s="354"/>
      <c r="N26" s="354">
        <f>I26</f>
        <v>9.4</v>
      </c>
      <c r="O26" s="209">
        <f>SUM(L26:N26)</f>
        <v>9.4</v>
      </c>
      <c r="P26" s="318">
        <v>44531</v>
      </c>
    </row>
    <row r="27" spans="1:30" x14ac:dyDescent="0.2">
      <c r="A27" s="298" t="s">
        <v>132</v>
      </c>
      <c r="D27" s="321">
        <f>D16</f>
        <v>0</v>
      </c>
      <c r="E27" s="336" t="s">
        <v>41</v>
      </c>
      <c r="F27" s="335" t="s">
        <v>8</v>
      </c>
      <c r="G27" s="84"/>
      <c r="H27" s="86"/>
      <c r="I27" s="86"/>
      <c r="J27" s="84"/>
      <c r="K27" s="334" t="s">
        <v>42</v>
      </c>
      <c r="L27" s="87"/>
      <c r="M27" s="354"/>
      <c r="N27" s="87"/>
      <c r="O27" s="209"/>
      <c r="P27" s="318"/>
    </row>
    <row r="28" spans="1:30" x14ac:dyDescent="0.2">
      <c r="A28" s="298" t="s">
        <v>33</v>
      </c>
      <c r="D28" s="347">
        <f>ROUND(MAX(D14,D15,('Customer Info'!B15-100)*0.6,('Customer Info'!B17-100)*0.6),1)</f>
        <v>0</v>
      </c>
      <c r="E28" s="353" t="s">
        <v>45</v>
      </c>
      <c r="F28" s="307" t="s">
        <v>8</v>
      </c>
      <c r="G28" s="85"/>
      <c r="H28" s="85"/>
      <c r="I28" s="85">
        <v>7.01</v>
      </c>
      <c r="J28" s="85">
        <f>SUM(G28:I28)</f>
        <v>7.01</v>
      </c>
      <c r="K28" s="311" t="s">
        <v>44</v>
      </c>
      <c r="L28" s="87"/>
      <c r="M28" s="87"/>
      <c r="N28" s="87">
        <f>ROUND($D28*I28,2)</f>
        <v>0</v>
      </c>
      <c r="O28" s="209">
        <f>SUM(L28:N28)</f>
        <v>0</v>
      </c>
      <c r="P28" s="318">
        <v>44531</v>
      </c>
    </row>
    <row r="29" spans="1:30" x14ac:dyDescent="0.2">
      <c r="A29" s="298" t="s">
        <v>270</v>
      </c>
      <c r="D29" s="347">
        <f>IF(D18&lt;=100,0,ROUND(IF(D18-D19&gt;0,D18-D19),1))</f>
        <v>0</v>
      </c>
      <c r="E29" s="353" t="s">
        <v>268</v>
      </c>
      <c r="F29" s="307" t="s">
        <v>8</v>
      </c>
      <c r="G29" s="116"/>
      <c r="H29" s="85"/>
      <c r="I29" s="85">
        <v>1.25</v>
      </c>
      <c r="J29" s="116">
        <f>SUM(G29:I29)</f>
        <v>1.25</v>
      </c>
      <c r="K29" s="311" t="s">
        <v>44</v>
      </c>
      <c r="L29" s="87"/>
      <c r="M29" s="87"/>
      <c r="N29" s="87">
        <f>ROUND($D29*I29,2)</f>
        <v>0</v>
      </c>
      <c r="O29" s="87">
        <f>SUM(L29:N29)</f>
        <v>0</v>
      </c>
      <c r="P29" s="318">
        <v>44531</v>
      </c>
    </row>
    <row r="30" spans="1:30" x14ac:dyDescent="0.2">
      <c r="A30" s="302" t="s">
        <v>50</v>
      </c>
      <c r="B30" s="302"/>
      <c r="C30" s="302"/>
      <c r="D30" s="352"/>
      <c r="E30" s="352"/>
      <c r="F30" s="302"/>
      <c r="G30" s="302"/>
      <c r="H30" s="302"/>
      <c r="I30" s="302"/>
      <c r="J30" s="302"/>
      <c r="K30" s="351"/>
      <c r="L30" s="40"/>
      <c r="M30" s="40"/>
      <c r="N30" s="40">
        <f>SUM(N26:N29)</f>
        <v>9.4</v>
      </c>
      <c r="O30" s="40">
        <f>SUM(O26:O29)</f>
        <v>9.4</v>
      </c>
    </row>
    <row r="31" spans="1:30" x14ac:dyDescent="0.2">
      <c r="A31" s="348"/>
      <c r="B31" s="348"/>
      <c r="C31" s="350"/>
      <c r="D31" s="350"/>
      <c r="E31" s="350"/>
      <c r="F31" s="350"/>
      <c r="G31" s="349"/>
      <c r="H31" s="349"/>
      <c r="I31" s="349"/>
      <c r="J31" s="349"/>
      <c r="K31" s="348"/>
      <c r="L31" s="348"/>
      <c r="M31" s="348"/>
      <c r="N31" s="348"/>
      <c r="O31" s="348"/>
      <c r="P31" s="348"/>
    </row>
    <row r="32" spans="1:30" x14ac:dyDescent="0.2">
      <c r="A32" s="305" t="s">
        <v>69</v>
      </c>
      <c r="D32" s="321"/>
      <c r="E32" s="321"/>
      <c r="K32" s="311"/>
      <c r="L32" s="311"/>
      <c r="M32" s="311"/>
      <c r="N32" s="311"/>
      <c r="O32" s="34"/>
      <c r="P32" s="34"/>
    </row>
    <row r="33" spans="1:220" x14ac:dyDescent="0.2">
      <c r="A33" s="302"/>
      <c r="D33" s="321"/>
      <c r="E33" s="321"/>
      <c r="K33" s="311"/>
      <c r="L33" s="311"/>
      <c r="M33" s="311"/>
      <c r="N33" s="311"/>
      <c r="O33" s="34"/>
    </row>
    <row r="34" spans="1:220" x14ac:dyDescent="0.2">
      <c r="A34" s="314" t="s">
        <v>78</v>
      </c>
      <c r="D34" s="1">
        <f>IF($C$16&lt;0,0,IF($C$16&gt;833000,833000,$C$16))</f>
        <v>0</v>
      </c>
      <c r="E34" s="320" t="s">
        <v>41</v>
      </c>
      <c r="F34" s="307" t="s">
        <v>8</v>
      </c>
      <c r="G34" s="83"/>
      <c r="H34" s="84"/>
      <c r="I34" s="103">
        <f>'Rider Rates'!$B$4</f>
        <v>5.9216E-3</v>
      </c>
      <c r="J34" s="6">
        <f>SUM(G34:I34)</f>
        <v>5.9216E-3</v>
      </c>
      <c r="K34" s="311" t="s">
        <v>42</v>
      </c>
      <c r="L34" s="87"/>
      <c r="M34" s="87"/>
      <c r="N34" s="87">
        <f>ROUND($D34*I34,2)</f>
        <v>0</v>
      </c>
      <c r="O34" s="87">
        <f t="shared" ref="O34:O50" si="0">SUM(L34:N34)</f>
        <v>0</v>
      </c>
      <c r="P34" s="245">
        <f>'Rider Rates'!$D$4</f>
        <v>45293</v>
      </c>
    </row>
    <row r="35" spans="1:220" x14ac:dyDescent="0.2">
      <c r="A35" s="314" t="s">
        <v>79</v>
      </c>
      <c r="D35" s="1">
        <f>IF($C$16-833000&gt;0,$C$16-D34,0)</f>
        <v>0</v>
      </c>
      <c r="E35" s="320" t="s">
        <v>41</v>
      </c>
      <c r="F35" s="307" t="s">
        <v>8</v>
      </c>
      <c r="G35" s="83"/>
      <c r="H35" s="84"/>
      <c r="I35" s="103">
        <f>'Rider Rates'!$B$5</f>
        <v>1.7560000000000001E-4</v>
      </c>
      <c r="J35" s="118">
        <f>SUM(G35:I35)</f>
        <v>1.7560000000000001E-4</v>
      </c>
      <c r="K35" s="311" t="s">
        <v>42</v>
      </c>
      <c r="L35" s="87"/>
      <c r="M35" s="87"/>
      <c r="N35" s="87">
        <f>ROUND($D35*I35,2)</f>
        <v>0</v>
      </c>
      <c r="O35" s="87">
        <f t="shared" si="0"/>
        <v>0</v>
      </c>
      <c r="P35" s="245">
        <f>'Rider Rates'!$D$4</f>
        <v>45293</v>
      </c>
    </row>
    <row r="36" spans="1:220" x14ac:dyDescent="0.2">
      <c r="A36" s="314" t="s">
        <v>47</v>
      </c>
      <c r="B36" s="298" t="s">
        <v>15</v>
      </c>
      <c r="D36" s="1">
        <f>IF('Customer Info'!$C$33=TRUE,0,IF(C16&lt;0,0,IF(C16&gt;2000,2000,C16)))</f>
        <v>0</v>
      </c>
      <c r="E36" s="320" t="s">
        <v>41</v>
      </c>
      <c r="F36" s="307" t="s">
        <v>8</v>
      </c>
      <c r="G36" s="83"/>
      <c r="H36" s="84"/>
      <c r="I36" s="177">
        <f>'Rider Rates'!$B$8</f>
        <v>4.6499999999999996E-3</v>
      </c>
      <c r="J36" s="117">
        <f>SUM(G36:I36)</f>
        <v>4.6499999999999996E-3</v>
      </c>
      <c r="K36" s="311" t="s">
        <v>42</v>
      </c>
      <c r="L36" s="87"/>
      <c r="M36" s="87"/>
      <c r="N36" s="87">
        <f>ROUND($D36*I36,2)</f>
        <v>0</v>
      </c>
      <c r="O36" s="87">
        <f t="shared" si="0"/>
        <v>0</v>
      </c>
      <c r="P36" s="245">
        <f>'Rider Rates'!$D$7</f>
        <v>44531</v>
      </c>
    </row>
    <row r="37" spans="1:220" x14ac:dyDescent="0.2">
      <c r="A37" s="314" t="s">
        <v>48</v>
      </c>
      <c r="B37" s="298" t="s">
        <v>15</v>
      </c>
      <c r="D37" s="1">
        <f>IF('Customer Info'!$C$33=TRUE,0,IF(C16&gt;15000,13000,IF(C16&gt;2000,C16-2000,0)))</f>
        <v>0</v>
      </c>
      <c r="E37" s="320" t="s">
        <v>41</v>
      </c>
      <c r="F37" s="307" t="s">
        <v>8</v>
      </c>
      <c r="G37" s="83"/>
      <c r="H37" s="84"/>
      <c r="I37" s="177">
        <f>'Rider Rates'!$B$9</f>
        <v>4.1900000000000001E-3</v>
      </c>
      <c r="J37" s="117">
        <f>SUM(G37:I37)</f>
        <v>4.1900000000000001E-3</v>
      </c>
      <c r="K37" s="311" t="s">
        <v>42</v>
      </c>
      <c r="L37" s="87"/>
      <c r="M37" s="87"/>
      <c r="N37" s="87">
        <f>ROUND($D37*I37,2)</f>
        <v>0</v>
      </c>
      <c r="O37" s="87">
        <f t="shared" si="0"/>
        <v>0</v>
      </c>
      <c r="P37" s="245">
        <f>'Rider Rates'!$D$7</f>
        <v>44531</v>
      </c>
    </row>
    <row r="38" spans="1:220" x14ac:dyDescent="0.2">
      <c r="A38" s="314" t="s">
        <v>49</v>
      </c>
      <c r="B38" s="298" t="s">
        <v>15</v>
      </c>
      <c r="D38" s="1">
        <f>IF('Customer Info'!$C$33=TRUE,0,IF(C16-D36-D37&gt;0,C16-D36-D37,0))</f>
        <v>0</v>
      </c>
      <c r="E38" s="320" t="s">
        <v>41</v>
      </c>
      <c r="F38" s="307" t="s">
        <v>8</v>
      </c>
      <c r="G38" s="83"/>
      <c r="H38" s="84"/>
      <c r="I38" s="177">
        <f>'Rider Rates'!$B$10</f>
        <v>3.63E-3</v>
      </c>
      <c r="J38" s="117">
        <f>SUM(G38:I38)</f>
        <v>3.63E-3</v>
      </c>
      <c r="K38" s="311" t="s">
        <v>42</v>
      </c>
      <c r="L38" s="87"/>
      <c r="M38" s="87"/>
      <c r="N38" s="87">
        <f>ROUND($D38*I38,2)</f>
        <v>0</v>
      </c>
      <c r="O38" s="87">
        <f t="shared" si="0"/>
        <v>0</v>
      </c>
      <c r="P38" s="245">
        <f>'Rider Rates'!$D$7</f>
        <v>44531</v>
      </c>
    </row>
    <row r="39" spans="1:220" x14ac:dyDescent="0.2">
      <c r="A39" s="338" t="s">
        <v>245</v>
      </c>
      <c r="B39" s="314"/>
      <c r="C39" s="314"/>
      <c r="D39" s="208">
        <f>$N$30</f>
        <v>9.4</v>
      </c>
      <c r="E39" s="336" t="s">
        <v>121</v>
      </c>
      <c r="F39" s="335" t="s">
        <v>8</v>
      </c>
      <c r="G39" s="103"/>
      <c r="H39" s="103"/>
      <c r="I39" s="178">
        <f>'Rider Rates'!$B$18+'Rider Rates'!$E$18</f>
        <v>0</v>
      </c>
      <c r="J39" s="343">
        <f>SUM(H39:I39)</f>
        <v>0</v>
      </c>
      <c r="K39" s="334"/>
      <c r="L39" s="105"/>
      <c r="M39" s="105"/>
      <c r="N39" s="105">
        <v>0</v>
      </c>
      <c r="O39" s="105">
        <f t="shared" si="0"/>
        <v>0</v>
      </c>
      <c r="P39" s="245">
        <f>MAX('Rider Rates'!$D$18,'Rider Rates'!$F$18)</f>
        <v>44531</v>
      </c>
    </row>
    <row r="40" spans="1:220" x14ac:dyDescent="0.2">
      <c r="A40" s="338" t="s">
        <v>194</v>
      </c>
      <c r="B40" s="314"/>
      <c r="C40" s="314"/>
      <c r="D40" s="100">
        <f>'Customer Info'!$B$22+'Customer Info'!$B$23-'Customer Info'!$B$24</f>
        <v>0</v>
      </c>
      <c r="E40" s="336" t="s">
        <v>41</v>
      </c>
      <c r="F40" s="335" t="s">
        <v>8</v>
      </c>
      <c r="G40" s="103">
        <f>'Rider Rates'!B23</f>
        <v>7.0209999999999995E-2</v>
      </c>
      <c r="H40" s="103"/>
      <c r="I40" s="103"/>
      <c r="J40" s="339">
        <f>SUM(G40:H40)</f>
        <v>7.0209999999999995E-2</v>
      </c>
      <c r="K40" s="334" t="s">
        <v>42</v>
      </c>
      <c r="L40" s="105">
        <f>ROUND(D40*G40,2)</f>
        <v>0</v>
      </c>
      <c r="M40" s="105"/>
      <c r="N40" s="105"/>
      <c r="O40" s="105">
        <f t="shared" si="0"/>
        <v>0</v>
      </c>
      <c r="P40" s="245">
        <f>'Rider Rates'!$D$23</f>
        <v>45444</v>
      </c>
    </row>
    <row r="41" spans="1:220" x14ac:dyDescent="0.2">
      <c r="A41" s="338" t="s">
        <v>161</v>
      </c>
      <c r="B41" s="314"/>
      <c r="C41" s="314"/>
      <c r="D41" s="100">
        <f>'Customer Info'!$B$22+'Customer Info'!$B$23-'Customer Info'!$B$24</f>
        <v>0</v>
      </c>
      <c r="E41" s="336" t="s">
        <v>41</v>
      </c>
      <c r="F41" s="335" t="s">
        <v>8</v>
      </c>
      <c r="G41" s="103">
        <f>'Rider Rates'!B37</f>
        <v>2.65E-3</v>
      </c>
      <c r="H41" s="103"/>
      <c r="I41" s="103"/>
      <c r="J41" s="339">
        <f>SUM(G41:H41)</f>
        <v>2.65E-3</v>
      </c>
      <c r="K41" s="334" t="s">
        <v>42</v>
      </c>
      <c r="L41" s="105">
        <f>ROUND(D41*G41,2)</f>
        <v>0</v>
      </c>
      <c r="M41" s="105"/>
      <c r="N41" s="105"/>
      <c r="O41" s="105">
        <f t="shared" si="0"/>
        <v>0</v>
      </c>
      <c r="P41" s="245">
        <f>'Rider Rates'!$D$42</f>
        <v>45444</v>
      </c>
    </row>
    <row r="42" spans="1:220" x14ac:dyDescent="0.2">
      <c r="A42" s="338" t="s">
        <v>201</v>
      </c>
      <c r="B42" s="314"/>
      <c r="C42" s="314"/>
      <c r="D42" s="100">
        <f>'Customer Info'!$B$22+'Customer Info'!$B$23-'Customer Info'!$B$24</f>
        <v>0</v>
      </c>
      <c r="E42" s="336" t="s">
        <v>41</v>
      </c>
      <c r="F42" s="335" t="s">
        <v>8</v>
      </c>
      <c r="G42" s="103">
        <f>'Rider Rates'!$B$49</f>
        <v>-3.1569999999999998E-4</v>
      </c>
      <c r="H42" s="103"/>
      <c r="I42" s="103"/>
      <c r="J42" s="339">
        <f>SUM(G42:H42)</f>
        <v>-3.1569999999999998E-4</v>
      </c>
      <c r="K42" s="334" t="s">
        <v>42</v>
      </c>
      <c r="L42" s="105">
        <f>ROUND(D42*G42,2)</f>
        <v>0</v>
      </c>
      <c r="M42" s="105"/>
      <c r="N42" s="105"/>
      <c r="O42" s="105">
        <f t="shared" si="0"/>
        <v>0</v>
      </c>
      <c r="P42" s="245">
        <f>'Rider Rates'!$D$49</f>
        <v>45471</v>
      </c>
    </row>
    <row r="43" spans="1:220" x14ac:dyDescent="0.2">
      <c r="A43" s="338" t="s">
        <v>218</v>
      </c>
      <c r="B43" s="314"/>
      <c r="C43" s="314"/>
      <c r="D43" s="1">
        <f>IF($C$16&lt;0,0,IF($C$16&gt;833000,833000,$C$16))</f>
        <v>0</v>
      </c>
      <c r="E43" s="336" t="s">
        <v>41</v>
      </c>
      <c r="F43" s="335" t="s">
        <v>8</v>
      </c>
      <c r="G43" s="103"/>
      <c r="H43" s="103"/>
      <c r="I43" s="103">
        <f>'Rider Rates'!D53</f>
        <v>1.8006999999999999E-3</v>
      </c>
      <c r="J43" s="103">
        <f>SUM(G43:I43)</f>
        <v>1.8006999999999999E-3</v>
      </c>
      <c r="K43" s="334" t="s">
        <v>42</v>
      </c>
      <c r="L43" s="105"/>
      <c r="M43" s="105"/>
      <c r="N43" s="87">
        <f>D43*J43</f>
        <v>0</v>
      </c>
      <c r="O43" s="105">
        <f t="shared" si="0"/>
        <v>0</v>
      </c>
      <c r="P43" s="245">
        <f>'Rider Rates'!E53</f>
        <v>45474</v>
      </c>
    </row>
    <row r="44" spans="1:220" x14ac:dyDescent="0.2">
      <c r="A44" s="338" t="s">
        <v>197</v>
      </c>
      <c r="B44" s="314"/>
      <c r="C44" s="314"/>
      <c r="D44" s="1">
        <f>IF($C$16&lt;0,0,$C$16)</f>
        <v>0</v>
      </c>
      <c r="E44" s="345" t="s">
        <v>41</v>
      </c>
      <c r="F44" s="335" t="s">
        <v>8</v>
      </c>
      <c r="G44" s="103"/>
      <c r="H44" s="103">
        <f>'Rider Rates'!$B$61</f>
        <v>6.0079999999999997E-4</v>
      </c>
      <c r="I44" s="103"/>
      <c r="J44" s="103">
        <f>SUM(G44:I44)</f>
        <v>6.0079999999999997E-4</v>
      </c>
      <c r="K44" s="334" t="s">
        <v>42</v>
      </c>
      <c r="L44" s="105"/>
      <c r="M44" s="105">
        <f>ROUND(D44*H44,2)</f>
        <v>0</v>
      </c>
      <c r="N44" s="205"/>
      <c r="O44" s="105">
        <f t="shared" si="0"/>
        <v>0</v>
      </c>
      <c r="P44" s="245">
        <f>'Rider Rates'!$D$61</f>
        <v>45383</v>
      </c>
    </row>
    <row r="45" spans="1:220" x14ac:dyDescent="0.2">
      <c r="A45" s="338" t="s">
        <v>197</v>
      </c>
      <c r="B45" s="314"/>
      <c r="C45" s="314"/>
      <c r="D45" s="49">
        <f>D14</f>
        <v>0</v>
      </c>
      <c r="E45" s="320" t="s">
        <v>63</v>
      </c>
      <c r="F45" s="307" t="s">
        <v>8</v>
      </c>
      <c r="G45" s="103"/>
      <c r="H45" s="239">
        <f>'Rider Rates'!$B$66</f>
        <v>6.73</v>
      </c>
      <c r="I45" s="103"/>
      <c r="J45" s="239">
        <f>SUM(G45:I45)</f>
        <v>6.73</v>
      </c>
      <c r="K45" s="334" t="s">
        <v>44</v>
      </c>
      <c r="L45" s="105"/>
      <c r="M45" s="105">
        <f>ROUND(D45*H45,2)</f>
        <v>0</v>
      </c>
      <c r="N45" s="205"/>
      <c r="O45" s="105">
        <f t="shared" si="0"/>
        <v>0</v>
      </c>
      <c r="P45" s="245">
        <f>'Rider Rates'!$D$66</f>
        <v>45383</v>
      </c>
    </row>
    <row r="46" spans="1:220" x14ac:dyDescent="0.2">
      <c r="A46" s="338" t="s">
        <v>82</v>
      </c>
      <c r="B46" s="314"/>
      <c r="C46" s="314"/>
      <c r="D46" s="1">
        <f>IF('Customer Info'!C35=TRUE,0,IF($C$16&lt;0,0,$C$16))</f>
        <v>0</v>
      </c>
      <c r="E46" s="336" t="s">
        <v>41</v>
      </c>
      <c r="F46" s="335" t="s">
        <v>8</v>
      </c>
      <c r="G46" s="103"/>
      <c r="H46" s="103"/>
      <c r="I46" s="103">
        <f>'Rider Rates'!$B$75+'Rider Rates'!$C$75</f>
        <v>0</v>
      </c>
      <c r="J46" s="103">
        <f>SUM(G46:I46)</f>
        <v>0</v>
      </c>
      <c r="K46" s="334" t="s">
        <v>42</v>
      </c>
      <c r="L46" s="105"/>
      <c r="M46" s="105"/>
      <c r="N46" s="87">
        <v>0</v>
      </c>
      <c r="O46" s="209">
        <f t="shared" si="0"/>
        <v>0</v>
      </c>
      <c r="P46" s="245">
        <f>'Rider Rates'!$D$75</f>
        <v>44531</v>
      </c>
      <c r="Q46" s="107"/>
      <c r="R46" s="331"/>
      <c r="S46" s="109"/>
      <c r="T46" s="314"/>
      <c r="U46" s="330"/>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c r="FI46" s="314"/>
      <c r="FJ46" s="314"/>
      <c r="FK46" s="314"/>
      <c r="FL46" s="314"/>
      <c r="FM46" s="314"/>
      <c r="FN46" s="314"/>
      <c r="FO46" s="314"/>
      <c r="FP46" s="314"/>
      <c r="FQ46" s="314"/>
      <c r="FR46" s="314"/>
      <c r="FS46" s="314"/>
      <c r="FT46" s="314"/>
      <c r="FU46" s="314"/>
      <c r="FV46" s="314"/>
      <c r="FW46" s="314"/>
      <c r="FX46" s="314"/>
      <c r="FY46" s="314"/>
      <c r="FZ46" s="314"/>
      <c r="GA46" s="314"/>
      <c r="GB46" s="314"/>
      <c r="GC46" s="314"/>
      <c r="GD46" s="314"/>
      <c r="GE46" s="314"/>
      <c r="GF46" s="314"/>
      <c r="GG46" s="314"/>
      <c r="GH46" s="314"/>
      <c r="GI46" s="314"/>
      <c r="GJ46" s="314"/>
      <c r="GK46" s="314"/>
      <c r="GL46" s="314"/>
      <c r="GM46" s="314"/>
      <c r="GN46" s="314"/>
      <c r="GO46" s="314"/>
      <c r="GP46" s="314"/>
      <c r="GQ46" s="314"/>
      <c r="GR46" s="314"/>
      <c r="GS46" s="314"/>
      <c r="GT46" s="314"/>
      <c r="GU46" s="314"/>
      <c r="GV46" s="314"/>
      <c r="GW46" s="314"/>
      <c r="GX46" s="314"/>
      <c r="GY46" s="314"/>
      <c r="GZ46" s="314"/>
      <c r="HA46" s="314"/>
      <c r="HB46" s="314"/>
      <c r="HC46" s="314"/>
      <c r="HD46" s="314"/>
      <c r="HE46" s="314"/>
      <c r="HF46" s="314"/>
      <c r="HG46" s="314"/>
      <c r="HH46" s="314"/>
      <c r="HI46" s="314"/>
      <c r="HJ46" s="314"/>
      <c r="HK46" s="314"/>
      <c r="HL46" s="314"/>
    </row>
    <row r="47" spans="1:220" x14ac:dyDescent="0.2">
      <c r="A47" s="338" t="s">
        <v>82</v>
      </c>
      <c r="B47" s="314"/>
      <c r="C47" s="314"/>
      <c r="D47" s="49">
        <f>IF('Customer Info'!C35=TRUE,0,$D$28)</f>
        <v>0</v>
      </c>
      <c r="E47" s="336" t="s">
        <v>45</v>
      </c>
      <c r="F47" s="335" t="s">
        <v>8</v>
      </c>
      <c r="G47" s="103"/>
      <c r="H47" s="103"/>
      <c r="I47" s="239">
        <f>'Rider Rates'!$B$85</f>
        <v>0</v>
      </c>
      <c r="J47" s="239">
        <f>SUM(G47:I47)</f>
        <v>0</v>
      </c>
      <c r="K47" s="334" t="s">
        <v>42</v>
      </c>
      <c r="L47" s="105"/>
      <c r="M47" s="105"/>
      <c r="N47" s="87">
        <f>ROUND($D47*I47,2)</f>
        <v>0</v>
      </c>
      <c r="O47" s="209">
        <f t="shared" si="0"/>
        <v>0</v>
      </c>
      <c r="P47" s="245">
        <f>'Rider Rates'!$D$85</f>
        <v>45444</v>
      </c>
      <c r="Q47" s="107"/>
      <c r="R47" s="331"/>
      <c r="S47" s="109"/>
      <c r="T47" s="314"/>
      <c r="U47" s="330"/>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314"/>
      <c r="DY47" s="314"/>
      <c r="DZ47" s="314"/>
      <c r="EA47" s="314"/>
      <c r="EB47" s="314"/>
      <c r="EC47" s="314"/>
      <c r="ED47" s="314"/>
      <c r="EE47" s="314"/>
      <c r="EF47" s="314"/>
      <c r="EG47" s="314"/>
      <c r="EH47" s="314"/>
      <c r="EI47" s="314"/>
      <c r="EJ47" s="314"/>
      <c r="EK47" s="314"/>
      <c r="EL47" s="314"/>
      <c r="EM47" s="314"/>
      <c r="EN47" s="314"/>
      <c r="EO47" s="314"/>
      <c r="EP47" s="314"/>
      <c r="EQ47" s="314"/>
      <c r="ER47" s="314"/>
      <c r="ES47" s="314"/>
      <c r="ET47" s="314"/>
      <c r="EU47" s="314"/>
      <c r="EV47" s="314"/>
      <c r="EW47" s="314"/>
      <c r="EX47" s="314"/>
      <c r="EY47" s="314"/>
      <c r="EZ47" s="314"/>
      <c r="FA47" s="314"/>
      <c r="FB47" s="314"/>
      <c r="FC47" s="314"/>
      <c r="FD47" s="314"/>
      <c r="FE47" s="314"/>
      <c r="FF47" s="314"/>
      <c r="FG47" s="314"/>
      <c r="FH47" s="314"/>
      <c r="FI47" s="314"/>
      <c r="FJ47" s="314"/>
      <c r="FK47" s="314"/>
      <c r="FL47" s="314"/>
      <c r="FM47" s="314"/>
      <c r="FN47" s="314"/>
      <c r="FO47" s="314"/>
      <c r="FP47" s="314"/>
      <c r="FQ47" s="314"/>
      <c r="FR47" s="314"/>
      <c r="FS47" s="314"/>
      <c r="FT47" s="314"/>
      <c r="FU47" s="314"/>
      <c r="FV47" s="314"/>
      <c r="FW47" s="314"/>
      <c r="FX47" s="314"/>
      <c r="FY47" s="314"/>
      <c r="FZ47" s="314"/>
      <c r="GA47" s="314"/>
      <c r="GB47" s="314"/>
      <c r="GC47" s="314"/>
      <c r="GD47" s="314"/>
      <c r="GE47" s="314"/>
      <c r="GF47" s="314"/>
      <c r="GG47" s="314"/>
      <c r="GH47" s="314"/>
      <c r="GI47" s="314"/>
      <c r="GJ47" s="314"/>
      <c r="GK47" s="314"/>
      <c r="GL47" s="314"/>
      <c r="GM47" s="314"/>
      <c r="GN47" s="314"/>
      <c r="GO47" s="314"/>
      <c r="GP47" s="314"/>
      <c r="GQ47" s="314"/>
      <c r="GR47" s="314"/>
      <c r="GS47" s="314"/>
      <c r="GT47" s="314"/>
      <c r="GU47" s="314"/>
      <c r="GV47" s="314"/>
      <c r="GW47" s="314"/>
      <c r="GX47" s="314"/>
      <c r="GY47" s="314"/>
      <c r="GZ47" s="314"/>
      <c r="HA47" s="314"/>
      <c r="HB47" s="314"/>
      <c r="HC47" s="314"/>
      <c r="HD47" s="314"/>
      <c r="HE47" s="314"/>
      <c r="HF47" s="314"/>
      <c r="HG47" s="314"/>
      <c r="HH47" s="314"/>
      <c r="HI47" s="314"/>
      <c r="HJ47" s="314"/>
      <c r="HK47" s="314"/>
      <c r="HL47" s="314"/>
    </row>
    <row r="48" spans="1:220" x14ac:dyDescent="0.2">
      <c r="A48" s="338" t="s">
        <v>80</v>
      </c>
      <c r="B48" s="314"/>
      <c r="C48" s="314"/>
      <c r="D48" s="208">
        <f>$N$30</f>
        <v>9.4</v>
      </c>
      <c r="E48" s="336" t="s">
        <v>121</v>
      </c>
      <c r="F48" s="335" t="s">
        <v>8</v>
      </c>
      <c r="G48" s="111"/>
      <c r="H48" s="112"/>
      <c r="I48" s="120">
        <f>'Rider Rates'!$B$89</f>
        <v>2.9347000000000002E-2</v>
      </c>
      <c r="J48" s="343">
        <f>SUM(H48:I48)</f>
        <v>2.9347000000000002E-2</v>
      </c>
      <c r="K48" s="334"/>
      <c r="L48" s="105"/>
      <c r="M48" s="105"/>
      <c r="N48" s="105">
        <f>ROUND(N$30*I48,2)</f>
        <v>0.28000000000000003</v>
      </c>
      <c r="O48" s="209">
        <f t="shared" si="0"/>
        <v>0.28000000000000003</v>
      </c>
      <c r="P48" s="245">
        <f>'Rider Rates'!$D$89</f>
        <v>45383</v>
      </c>
      <c r="Q48" s="107"/>
      <c r="R48" s="331"/>
      <c r="S48" s="109"/>
      <c r="T48" s="314"/>
      <c r="U48" s="330"/>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4"/>
      <c r="BS48" s="314"/>
      <c r="BT48" s="314"/>
      <c r="BU48" s="314"/>
      <c r="BV48" s="314"/>
      <c r="BW48" s="314"/>
      <c r="BX48" s="314"/>
      <c r="BY48" s="314"/>
      <c r="BZ48" s="314"/>
      <c r="CA48" s="314"/>
      <c r="CB48" s="314"/>
      <c r="CC48" s="314"/>
      <c r="CD48" s="314"/>
      <c r="CE48" s="314"/>
      <c r="CF48" s="314"/>
      <c r="CG48" s="314"/>
      <c r="CH48" s="314"/>
      <c r="CI48" s="314"/>
      <c r="CJ48" s="314"/>
      <c r="CK48" s="314"/>
      <c r="CL48" s="314"/>
      <c r="CM48" s="314"/>
      <c r="CN48" s="314"/>
      <c r="CO48" s="314"/>
      <c r="CP48" s="314"/>
      <c r="CQ48" s="314"/>
      <c r="CR48" s="314"/>
      <c r="CS48" s="314"/>
      <c r="CT48" s="314"/>
      <c r="CU48" s="314"/>
      <c r="CV48" s="314"/>
      <c r="CW48" s="314"/>
      <c r="CX48" s="314"/>
      <c r="CY48" s="314"/>
      <c r="CZ48" s="314"/>
      <c r="DA48" s="314"/>
      <c r="DB48" s="314"/>
      <c r="DC48" s="314"/>
      <c r="DD48" s="314"/>
      <c r="DE48" s="314"/>
      <c r="DF48" s="314"/>
      <c r="DG48" s="314"/>
      <c r="DH48" s="314"/>
      <c r="DI48" s="314"/>
      <c r="DJ48" s="314"/>
      <c r="DK48" s="314"/>
      <c r="DL48" s="314"/>
      <c r="DM48" s="314"/>
      <c r="DN48" s="314"/>
      <c r="DO48" s="314"/>
      <c r="DP48" s="314"/>
      <c r="DQ48" s="314"/>
      <c r="DR48" s="314"/>
      <c r="DS48" s="314"/>
      <c r="DT48" s="314"/>
      <c r="DU48" s="314"/>
      <c r="DV48" s="314"/>
      <c r="DW48" s="314"/>
      <c r="DX48" s="314"/>
      <c r="DY48" s="314"/>
      <c r="DZ48" s="314"/>
      <c r="EA48" s="314"/>
      <c r="EB48" s="314"/>
      <c r="EC48" s="314"/>
      <c r="ED48" s="314"/>
      <c r="EE48" s="314"/>
      <c r="EF48" s="314"/>
      <c r="EG48" s="314"/>
      <c r="EH48" s="314"/>
      <c r="EI48" s="314"/>
      <c r="EJ48" s="314"/>
      <c r="EK48" s="314"/>
      <c r="EL48" s="314"/>
      <c r="EM48" s="314"/>
      <c r="EN48" s="314"/>
      <c r="EO48" s="314"/>
      <c r="EP48" s="314"/>
      <c r="EQ48" s="314"/>
      <c r="ER48" s="314"/>
      <c r="ES48" s="314"/>
      <c r="ET48" s="314"/>
      <c r="EU48" s="314"/>
      <c r="EV48" s="314"/>
      <c r="EW48" s="314"/>
      <c r="EX48" s="314"/>
      <c r="EY48" s="314"/>
      <c r="EZ48" s="314"/>
      <c r="FA48" s="314"/>
      <c r="FB48" s="314"/>
      <c r="FC48" s="314"/>
      <c r="FD48" s="314"/>
      <c r="FE48" s="314"/>
      <c r="FF48" s="314"/>
      <c r="FG48" s="314"/>
      <c r="FH48" s="314"/>
      <c r="FI48" s="314"/>
      <c r="FJ48" s="314"/>
      <c r="FK48" s="314"/>
      <c r="FL48" s="314"/>
      <c r="FM48" s="314"/>
      <c r="FN48" s="314"/>
      <c r="FO48" s="314"/>
      <c r="FP48" s="314"/>
      <c r="FQ48" s="314"/>
      <c r="FR48" s="314"/>
      <c r="FS48" s="314"/>
      <c r="FT48" s="314"/>
      <c r="FU48" s="314"/>
      <c r="FV48" s="314"/>
      <c r="FW48" s="314"/>
      <c r="FX48" s="314"/>
      <c r="FY48" s="314"/>
      <c r="FZ48" s="314"/>
      <c r="GA48" s="314"/>
      <c r="GB48" s="314"/>
      <c r="GC48" s="314"/>
      <c r="GD48" s="314"/>
      <c r="GE48" s="314"/>
      <c r="GF48" s="314"/>
      <c r="GG48" s="314"/>
      <c r="GH48" s="314"/>
      <c r="GI48" s="314"/>
      <c r="GJ48" s="314"/>
      <c r="GK48" s="314"/>
      <c r="GL48" s="314"/>
      <c r="GM48" s="314"/>
      <c r="GN48" s="314"/>
      <c r="GO48" s="314"/>
      <c r="GP48" s="314"/>
      <c r="GQ48" s="314"/>
      <c r="GR48" s="314"/>
      <c r="GS48" s="314"/>
      <c r="GT48" s="314"/>
      <c r="GU48" s="314"/>
      <c r="GV48" s="314"/>
      <c r="GW48" s="314"/>
      <c r="GX48" s="314"/>
      <c r="GY48" s="314"/>
      <c r="GZ48" s="314"/>
      <c r="HA48" s="314"/>
      <c r="HB48" s="314"/>
      <c r="HC48" s="314"/>
      <c r="HD48" s="314"/>
      <c r="HE48" s="314"/>
      <c r="HF48" s="314"/>
      <c r="HG48" s="314"/>
      <c r="HH48" s="314"/>
      <c r="HI48" s="314"/>
      <c r="HJ48" s="314"/>
      <c r="HK48" s="314"/>
      <c r="HL48" s="314"/>
    </row>
    <row r="49" spans="1:221" x14ac:dyDescent="0.2">
      <c r="A49" s="338" t="s">
        <v>81</v>
      </c>
      <c r="B49" s="314"/>
      <c r="C49" s="314"/>
      <c r="D49" s="208">
        <f>$N$30</f>
        <v>9.4</v>
      </c>
      <c r="E49" s="336" t="s">
        <v>121</v>
      </c>
      <c r="F49" s="335" t="s">
        <v>8</v>
      </c>
      <c r="G49" s="114"/>
      <c r="H49" s="115"/>
      <c r="I49" s="120">
        <f>'Rider Rates'!$B$91</f>
        <v>6.6985699999999995E-2</v>
      </c>
      <c r="J49" s="343">
        <f>SUM(H49:I49)</f>
        <v>6.6985699999999995E-2</v>
      </c>
      <c r="K49" s="334"/>
      <c r="L49" s="105"/>
      <c r="M49" s="105"/>
      <c r="N49" s="105">
        <f>ROUND(N$30*I49,2)</f>
        <v>0.63</v>
      </c>
      <c r="O49" s="209">
        <f t="shared" si="0"/>
        <v>0.63</v>
      </c>
      <c r="P49" s="245">
        <f>'Rider Rates'!$D$91</f>
        <v>45167</v>
      </c>
      <c r="Q49" s="107"/>
      <c r="R49" s="331"/>
      <c r="S49" s="109"/>
      <c r="T49" s="314"/>
      <c r="U49" s="330"/>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4"/>
      <c r="BS49" s="314"/>
      <c r="BT49" s="314"/>
      <c r="BU49" s="314"/>
      <c r="BV49" s="314"/>
      <c r="BW49" s="314"/>
      <c r="BX49" s="314"/>
      <c r="BY49" s="314"/>
      <c r="BZ49" s="314"/>
      <c r="CA49" s="314"/>
      <c r="CB49" s="314"/>
      <c r="CC49" s="314"/>
      <c r="CD49" s="314"/>
      <c r="CE49" s="314"/>
      <c r="CF49" s="314"/>
      <c r="CG49" s="314"/>
      <c r="CH49" s="314"/>
      <c r="CI49" s="314"/>
      <c r="CJ49" s="314"/>
      <c r="CK49" s="314"/>
      <c r="CL49" s="314"/>
      <c r="CM49" s="314"/>
      <c r="CN49" s="314"/>
      <c r="CO49" s="314"/>
      <c r="CP49" s="314"/>
      <c r="CQ49" s="314"/>
      <c r="CR49" s="314"/>
      <c r="CS49" s="314"/>
      <c r="CT49" s="314"/>
      <c r="CU49" s="314"/>
      <c r="CV49" s="314"/>
      <c r="CW49" s="314"/>
      <c r="CX49" s="314"/>
      <c r="CY49" s="314"/>
      <c r="CZ49" s="314"/>
      <c r="DA49" s="314"/>
      <c r="DB49" s="314"/>
      <c r="DC49" s="314"/>
      <c r="DD49" s="314"/>
      <c r="DE49" s="314"/>
      <c r="DF49" s="314"/>
      <c r="DG49" s="314"/>
      <c r="DH49" s="314"/>
      <c r="DI49" s="314"/>
      <c r="DJ49" s="314"/>
      <c r="DK49" s="314"/>
      <c r="DL49" s="314"/>
      <c r="DM49" s="314"/>
      <c r="DN49" s="314"/>
      <c r="DO49" s="314"/>
      <c r="DP49" s="314"/>
      <c r="DQ49" s="314"/>
      <c r="DR49" s="314"/>
      <c r="DS49" s="314"/>
      <c r="DT49" s="314"/>
      <c r="DU49" s="314"/>
      <c r="DV49" s="314"/>
      <c r="DW49" s="314"/>
      <c r="DX49" s="314"/>
      <c r="DY49" s="314"/>
      <c r="DZ49" s="314"/>
      <c r="EA49" s="314"/>
      <c r="EB49" s="314"/>
      <c r="EC49" s="314"/>
      <c r="ED49" s="314"/>
      <c r="EE49" s="314"/>
      <c r="EF49" s="314"/>
      <c r="EG49" s="314"/>
      <c r="EH49" s="314"/>
      <c r="EI49" s="314"/>
      <c r="EJ49" s="314"/>
      <c r="EK49" s="314"/>
      <c r="EL49" s="314"/>
      <c r="EM49" s="314"/>
      <c r="EN49" s="314"/>
      <c r="EO49" s="314"/>
      <c r="EP49" s="314"/>
      <c r="EQ49" s="314"/>
      <c r="ER49" s="314"/>
      <c r="ES49" s="314"/>
      <c r="ET49" s="314"/>
      <c r="EU49" s="314"/>
      <c r="EV49" s="314"/>
      <c r="EW49" s="314"/>
      <c r="EX49" s="314"/>
      <c r="EY49" s="314"/>
      <c r="EZ49" s="314"/>
      <c r="FA49" s="314"/>
      <c r="FB49" s="314"/>
      <c r="FC49" s="314"/>
      <c r="FD49" s="314"/>
      <c r="FE49" s="314"/>
      <c r="FF49" s="314"/>
      <c r="FG49" s="314"/>
      <c r="FH49" s="314"/>
      <c r="FI49" s="314"/>
      <c r="FJ49" s="314"/>
      <c r="FK49" s="314"/>
      <c r="FL49" s="314"/>
      <c r="FM49" s="314"/>
      <c r="FN49" s="314"/>
      <c r="FO49" s="314"/>
      <c r="FP49" s="314"/>
      <c r="FQ49" s="314"/>
      <c r="FR49" s="314"/>
      <c r="FS49" s="314"/>
      <c r="FT49" s="314"/>
      <c r="FU49" s="314"/>
      <c r="FV49" s="314"/>
      <c r="FW49" s="314"/>
      <c r="FX49" s="314"/>
      <c r="FY49" s="314"/>
      <c r="FZ49" s="314"/>
      <c r="GA49" s="314"/>
      <c r="GB49" s="314"/>
      <c r="GC49" s="314"/>
      <c r="GD49" s="314"/>
      <c r="GE49" s="314"/>
      <c r="GF49" s="314"/>
      <c r="GG49" s="314"/>
      <c r="GH49" s="314"/>
      <c r="GI49" s="314"/>
      <c r="GJ49" s="314"/>
      <c r="GK49" s="314"/>
      <c r="GL49" s="314"/>
      <c r="GM49" s="314"/>
      <c r="GN49" s="314"/>
      <c r="GO49" s="314"/>
      <c r="GP49" s="314"/>
      <c r="GQ49" s="314"/>
      <c r="GR49" s="314"/>
      <c r="GS49" s="314"/>
      <c r="GT49" s="314"/>
      <c r="GU49" s="314"/>
      <c r="GV49" s="314"/>
      <c r="GW49" s="314"/>
      <c r="GX49" s="314"/>
      <c r="GY49" s="314"/>
      <c r="GZ49" s="314"/>
      <c r="HA49" s="314"/>
      <c r="HB49" s="314"/>
      <c r="HC49" s="314"/>
      <c r="HD49" s="314"/>
      <c r="HE49" s="314"/>
      <c r="HF49" s="314"/>
      <c r="HG49" s="314"/>
      <c r="HH49" s="314"/>
      <c r="HI49" s="314"/>
      <c r="HJ49" s="314"/>
      <c r="HK49" s="314"/>
      <c r="HL49" s="314"/>
    </row>
    <row r="50" spans="1:221" x14ac:dyDescent="0.2">
      <c r="A50" s="338" t="s">
        <v>214</v>
      </c>
      <c r="B50" s="314"/>
      <c r="C50" s="314"/>
      <c r="D50" s="195"/>
      <c r="E50" s="345" t="s">
        <v>114</v>
      </c>
      <c r="F50" s="332"/>
      <c r="G50" s="114"/>
      <c r="H50" s="115"/>
      <c r="I50" s="196">
        <f>'Rider Rates'!$B$95</f>
        <v>11.97</v>
      </c>
      <c r="J50" s="344">
        <f>SUM(G50:I50)</f>
        <v>11.97</v>
      </c>
      <c r="K50" s="334"/>
      <c r="L50" s="105"/>
      <c r="M50" s="105"/>
      <c r="N50" s="105">
        <f>I50</f>
        <v>11.97</v>
      </c>
      <c r="O50" s="105">
        <f t="shared" si="0"/>
        <v>11.97</v>
      </c>
      <c r="P50" s="245">
        <f>'Rider Rates'!$D$95</f>
        <v>45442</v>
      </c>
    </row>
    <row r="51" spans="1:221" x14ac:dyDescent="0.2">
      <c r="A51" s="338" t="s">
        <v>261</v>
      </c>
      <c r="B51" s="314"/>
      <c r="C51" s="314"/>
      <c r="D51" s="1">
        <f>$D$34</f>
        <v>0</v>
      </c>
      <c r="E51" s="336" t="s">
        <v>41</v>
      </c>
      <c r="F51" s="335" t="s">
        <v>8</v>
      </c>
      <c r="G51" s="103"/>
      <c r="H51" s="103"/>
      <c r="I51" s="103"/>
      <c r="J51" s="103">
        <v>0</v>
      </c>
      <c r="K51" s="334" t="s">
        <v>42</v>
      </c>
      <c r="L51" s="105"/>
      <c r="M51" s="105"/>
      <c r="N51" s="87"/>
      <c r="O51" s="105">
        <v>0</v>
      </c>
      <c r="P51" s="245">
        <f>'Rider Rates'!$D$100</f>
        <v>44531</v>
      </c>
      <c r="Q51" s="332"/>
      <c r="R51" s="107"/>
      <c r="S51" s="331"/>
      <c r="T51" s="109"/>
      <c r="U51" s="314"/>
      <c r="V51" s="330"/>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4"/>
      <c r="BO51" s="314"/>
      <c r="BP51" s="314"/>
      <c r="BQ51" s="314"/>
      <c r="BR51" s="314"/>
      <c r="BS51" s="314"/>
      <c r="BT51" s="314"/>
      <c r="BU51" s="314"/>
      <c r="BV51" s="314"/>
      <c r="BW51" s="314"/>
      <c r="BX51" s="314"/>
      <c r="BY51" s="314"/>
      <c r="BZ51" s="314"/>
      <c r="CA51" s="314"/>
      <c r="CB51" s="314"/>
      <c r="CC51" s="314"/>
      <c r="CD51" s="314"/>
      <c r="CE51" s="314"/>
      <c r="CF51" s="314"/>
      <c r="CG51" s="314"/>
      <c r="CH51" s="314"/>
      <c r="CI51" s="314"/>
      <c r="CJ51" s="314"/>
      <c r="CK51" s="314"/>
      <c r="CL51" s="314"/>
      <c r="CM51" s="314"/>
      <c r="CN51" s="314"/>
      <c r="CO51" s="314"/>
      <c r="CP51" s="314"/>
      <c r="CQ51" s="314"/>
      <c r="CR51" s="314"/>
      <c r="CS51" s="314"/>
      <c r="CT51" s="314"/>
      <c r="CU51" s="314"/>
      <c r="CV51" s="314"/>
      <c r="CW51" s="314"/>
      <c r="CX51" s="314"/>
      <c r="CY51" s="314"/>
      <c r="CZ51" s="314"/>
      <c r="DA51" s="314"/>
      <c r="DB51" s="314"/>
      <c r="DC51" s="314"/>
      <c r="DD51" s="314"/>
      <c r="DE51" s="314"/>
      <c r="DF51" s="314"/>
      <c r="DG51" s="314"/>
      <c r="DH51" s="314"/>
      <c r="DI51" s="314"/>
      <c r="DJ51" s="314"/>
      <c r="DK51" s="314"/>
      <c r="DL51" s="314"/>
      <c r="DM51" s="314"/>
      <c r="DN51" s="314"/>
      <c r="DO51" s="314"/>
      <c r="DP51" s="314"/>
      <c r="DQ51" s="314"/>
      <c r="DR51" s="314"/>
      <c r="DS51" s="314"/>
      <c r="DT51" s="31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S51" s="314"/>
      <c r="ET51" s="314"/>
      <c r="EU51" s="314"/>
      <c r="EV51" s="314"/>
      <c r="EW51" s="314"/>
      <c r="EX51" s="314"/>
      <c r="EY51" s="314"/>
      <c r="EZ51" s="314"/>
      <c r="FA51" s="314"/>
      <c r="FB51" s="314"/>
      <c r="FC51" s="314"/>
      <c r="FD51" s="314"/>
      <c r="FE51" s="314"/>
      <c r="FF51" s="314"/>
      <c r="FG51" s="314"/>
      <c r="FH51" s="314"/>
      <c r="FI51" s="314"/>
      <c r="FJ51" s="314"/>
      <c r="FK51" s="314"/>
      <c r="FL51" s="314"/>
      <c r="FM51" s="314"/>
      <c r="FN51" s="314"/>
      <c r="FO51" s="314"/>
      <c r="FP51" s="314"/>
      <c r="FQ51" s="314"/>
      <c r="FR51" s="314"/>
      <c r="FS51" s="314"/>
      <c r="FT51" s="314"/>
      <c r="FU51" s="314"/>
      <c r="FV51" s="314"/>
      <c r="FW51" s="314"/>
      <c r="FX51" s="314"/>
      <c r="FY51" s="314"/>
      <c r="FZ51" s="314"/>
      <c r="GA51" s="314"/>
      <c r="GB51" s="314"/>
      <c r="GC51" s="314"/>
      <c r="GD51" s="314"/>
      <c r="GE51" s="314"/>
      <c r="GF51" s="314"/>
      <c r="GG51" s="314"/>
      <c r="GH51" s="314"/>
      <c r="GI51" s="314"/>
      <c r="GJ51" s="314"/>
      <c r="GK51" s="314"/>
      <c r="GL51" s="314"/>
      <c r="GM51" s="314"/>
      <c r="GN51" s="314"/>
      <c r="GO51" s="314"/>
      <c r="GP51" s="314"/>
      <c r="GQ51" s="314"/>
      <c r="GR51" s="314"/>
      <c r="GS51" s="314"/>
      <c r="GT51" s="314"/>
      <c r="GU51" s="314"/>
      <c r="GV51" s="314"/>
      <c r="GW51" s="314"/>
      <c r="GX51" s="314"/>
      <c r="GY51" s="314"/>
      <c r="GZ51" s="314"/>
      <c r="HA51" s="314"/>
      <c r="HB51" s="314"/>
      <c r="HC51" s="314"/>
      <c r="HD51" s="314"/>
      <c r="HE51" s="314"/>
      <c r="HF51" s="314"/>
      <c r="HG51" s="314"/>
      <c r="HH51" s="314"/>
      <c r="HI51" s="314"/>
      <c r="HJ51" s="314"/>
      <c r="HK51" s="314"/>
      <c r="HL51" s="314"/>
      <c r="HM51" s="314"/>
    </row>
    <row r="52" spans="1:221" x14ac:dyDescent="0.2">
      <c r="A52" s="338" t="s">
        <v>262</v>
      </c>
      <c r="B52" s="314"/>
      <c r="C52" s="314"/>
      <c r="D52" s="1">
        <f>$D$35</f>
        <v>0</v>
      </c>
      <c r="E52" s="336" t="s">
        <v>41</v>
      </c>
      <c r="F52" s="335" t="s">
        <v>8</v>
      </c>
      <c r="G52" s="103"/>
      <c r="H52" s="103"/>
      <c r="I52" s="103"/>
      <c r="J52" s="103">
        <v>0</v>
      </c>
      <c r="K52" s="334" t="s">
        <v>42</v>
      </c>
      <c r="L52" s="105"/>
      <c r="M52" s="105"/>
      <c r="N52" s="87"/>
      <c r="O52" s="105">
        <v>0</v>
      </c>
      <c r="P52" s="245">
        <f>'Rider Rates'!$D$101</f>
        <v>44531</v>
      </c>
      <c r="Q52" s="332"/>
      <c r="R52" s="107"/>
      <c r="S52" s="331"/>
      <c r="T52" s="109"/>
      <c r="U52" s="314"/>
      <c r="V52" s="330"/>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14"/>
      <c r="CQ52" s="314"/>
      <c r="CR52" s="314"/>
      <c r="CS52" s="314"/>
      <c r="CT52" s="314"/>
      <c r="CU52" s="314"/>
      <c r="CV52" s="314"/>
      <c r="CW52" s="314"/>
      <c r="CX52" s="314"/>
      <c r="CY52" s="314"/>
      <c r="CZ52" s="314"/>
      <c r="DA52" s="314"/>
      <c r="DB52" s="314"/>
      <c r="DC52" s="314"/>
      <c r="DD52" s="314"/>
      <c r="DE52" s="314"/>
      <c r="DF52" s="314"/>
      <c r="DG52" s="314"/>
      <c r="DH52" s="314"/>
      <c r="DI52" s="314"/>
      <c r="DJ52" s="314"/>
      <c r="DK52" s="314"/>
      <c r="DL52" s="314"/>
      <c r="DM52" s="314"/>
      <c r="DN52" s="314"/>
      <c r="DO52" s="314"/>
      <c r="DP52" s="314"/>
      <c r="DQ52" s="314"/>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c r="FI52" s="314"/>
      <c r="FJ52" s="314"/>
      <c r="FK52" s="314"/>
      <c r="FL52" s="314"/>
      <c r="FM52" s="314"/>
      <c r="FN52" s="314"/>
      <c r="FO52" s="314"/>
      <c r="FP52" s="314"/>
      <c r="FQ52" s="314"/>
      <c r="FR52" s="314"/>
      <c r="FS52" s="314"/>
      <c r="FT52" s="314"/>
      <c r="FU52" s="314"/>
      <c r="FV52" s="314"/>
      <c r="FW52" s="314"/>
      <c r="FX52" s="314"/>
      <c r="FY52" s="314"/>
      <c r="FZ52" s="314"/>
      <c r="GA52" s="314"/>
      <c r="GB52" s="314"/>
      <c r="GC52" s="314"/>
      <c r="GD52" s="314"/>
      <c r="GE52" s="314"/>
      <c r="GF52" s="314"/>
      <c r="GG52" s="314"/>
      <c r="GH52" s="314"/>
      <c r="GI52" s="314"/>
      <c r="GJ52" s="314"/>
      <c r="GK52" s="314"/>
      <c r="GL52" s="314"/>
      <c r="GM52" s="314"/>
      <c r="GN52" s="314"/>
      <c r="GO52" s="314"/>
      <c r="GP52" s="314"/>
      <c r="GQ52" s="314"/>
      <c r="GR52" s="314"/>
      <c r="GS52" s="314"/>
      <c r="GT52" s="314"/>
      <c r="GU52" s="314"/>
      <c r="GV52" s="314"/>
      <c r="GW52" s="314"/>
      <c r="GX52" s="314"/>
      <c r="GY52" s="314"/>
      <c r="GZ52" s="314"/>
      <c r="HA52" s="314"/>
      <c r="HB52" s="314"/>
      <c r="HC52" s="314"/>
      <c r="HD52" s="314"/>
      <c r="HE52" s="314"/>
      <c r="HF52" s="314"/>
      <c r="HG52" s="314"/>
      <c r="HH52" s="314"/>
      <c r="HI52" s="314"/>
      <c r="HJ52" s="314"/>
      <c r="HK52" s="314"/>
      <c r="HL52" s="314"/>
      <c r="HM52" s="314"/>
    </row>
    <row r="53" spans="1:221" x14ac:dyDescent="0.2">
      <c r="A53" s="338" t="s">
        <v>156</v>
      </c>
      <c r="B53" s="314"/>
      <c r="C53" s="314"/>
      <c r="D53" s="208">
        <f>$N$30</f>
        <v>9.4</v>
      </c>
      <c r="E53" s="336" t="s">
        <v>121</v>
      </c>
      <c r="F53" s="335" t="s">
        <v>8</v>
      </c>
      <c r="G53" s="114"/>
      <c r="H53" s="115"/>
      <c r="I53" s="120">
        <f>'Rider Rates'!$B$109</f>
        <v>0.211176</v>
      </c>
      <c r="J53" s="343">
        <f>SUM(H53:I53)</f>
        <v>0.211176</v>
      </c>
      <c r="K53" s="334"/>
      <c r="L53" s="105"/>
      <c r="M53" s="105"/>
      <c r="N53" s="105">
        <f>ROUND(N$30*I53,2)</f>
        <v>1.99</v>
      </c>
      <c r="O53" s="105">
        <f t="shared" ref="O53:O61" si="1">SUM(L53:N53)</f>
        <v>1.99</v>
      </c>
      <c r="P53" s="245">
        <f>'Rider Rates'!$D$109</f>
        <v>45532</v>
      </c>
      <c r="Q53" s="332"/>
      <c r="R53" s="107"/>
      <c r="S53" s="331"/>
      <c r="T53" s="109"/>
      <c r="U53" s="314"/>
      <c r="V53" s="330"/>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c r="BQ53" s="314"/>
      <c r="BR53" s="314"/>
      <c r="BS53" s="314"/>
      <c r="BT53" s="314"/>
      <c r="BU53" s="314"/>
      <c r="BV53" s="314"/>
      <c r="BW53" s="314"/>
      <c r="BX53" s="314"/>
      <c r="BY53" s="314"/>
      <c r="BZ53" s="314"/>
      <c r="CA53" s="314"/>
      <c r="CB53" s="314"/>
      <c r="CC53" s="314"/>
      <c r="CD53" s="314"/>
      <c r="CE53" s="314"/>
      <c r="CF53" s="314"/>
      <c r="CG53" s="314"/>
      <c r="CH53" s="314"/>
      <c r="CI53" s="314"/>
      <c r="CJ53" s="314"/>
      <c r="CK53" s="314"/>
      <c r="CL53" s="314"/>
      <c r="CM53" s="314"/>
      <c r="CN53" s="314"/>
      <c r="CO53" s="314"/>
      <c r="CP53" s="314"/>
      <c r="CQ53" s="314"/>
      <c r="CR53" s="314"/>
      <c r="CS53" s="314"/>
      <c r="CT53" s="314"/>
      <c r="CU53" s="314"/>
      <c r="CV53" s="314"/>
      <c r="CW53" s="314"/>
      <c r="CX53" s="314"/>
      <c r="CY53" s="314"/>
      <c r="CZ53" s="314"/>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c r="FL53" s="314"/>
      <c r="FM53" s="314"/>
      <c r="FN53" s="314"/>
      <c r="FO53" s="314"/>
      <c r="FP53" s="314"/>
      <c r="FQ53" s="314"/>
      <c r="FR53" s="314"/>
      <c r="FS53" s="314"/>
      <c r="FT53" s="314"/>
      <c r="FU53" s="314"/>
      <c r="FV53" s="314"/>
      <c r="FW53" s="314"/>
      <c r="FX53" s="314"/>
      <c r="FY53" s="314"/>
      <c r="FZ53" s="314"/>
      <c r="GA53" s="314"/>
      <c r="GB53" s="314"/>
      <c r="GC53" s="314"/>
      <c r="GD53" s="314"/>
      <c r="GE53" s="314"/>
      <c r="GF53" s="314"/>
      <c r="GG53" s="314"/>
      <c r="GH53" s="314"/>
      <c r="GI53" s="314"/>
      <c r="GJ53" s="314"/>
      <c r="GK53" s="314"/>
      <c r="GL53" s="314"/>
      <c r="GM53" s="314"/>
      <c r="GN53" s="314"/>
      <c r="GO53" s="314"/>
      <c r="GP53" s="314"/>
      <c r="GQ53" s="314"/>
      <c r="GR53" s="314"/>
      <c r="GS53" s="314"/>
      <c r="GT53" s="314"/>
      <c r="GU53" s="314"/>
      <c r="GV53" s="314"/>
      <c r="GW53" s="314"/>
      <c r="GX53" s="314"/>
      <c r="GY53" s="314"/>
      <c r="GZ53" s="314"/>
      <c r="HA53" s="314"/>
      <c r="HB53" s="314"/>
      <c r="HC53" s="314"/>
      <c r="HD53" s="314"/>
      <c r="HE53" s="314"/>
      <c r="HF53" s="314"/>
      <c r="HG53" s="314"/>
      <c r="HH53" s="314"/>
      <c r="HI53" s="314"/>
      <c r="HJ53" s="314"/>
      <c r="HK53" s="314"/>
      <c r="HL53" s="314"/>
      <c r="HM53" s="314"/>
    </row>
    <row r="54" spans="1:221" x14ac:dyDescent="0.2">
      <c r="A54" s="338" t="s">
        <v>217</v>
      </c>
      <c r="B54" s="314"/>
      <c r="C54" s="314"/>
      <c r="D54" s="195"/>
      <c r="E54" s="345" t="s">
        <v>114</v>
      </c>
      <c r="F54" s="332"/>
      <c r="G54" s="114"/>
      <c r="H54" s="115"/>
      <c r="I54" s="196">
        <f>'Rider Rates'!$B$113</f>
        <v>0</v>
      </c>
      <c r="J54" s="344">
        <f>SUM(G54:I54)</f>
        <v>0</v>
      </c>
      <c r="K54" s="334"/>
      <c r="L54" s="105"/>
      <c r="M54" s="105"/>
      <c r="N54" s="105">
        <f>I54</f>
        <v>0</v>
      </c>
      <c r="O54" s="105">
        <f t="shared" si="1"/>
        <v>0</v>
      </c>
      <c r="P54" s="245">
        <f>'Rider Rates'!$D$113</f>
        <v>44894</v>
      </c>
      <c r="Q54" s="332"/>
      <c r="R54" s="107"/>
      <c r="S54" s="331"/>
      <c r="T54" s="109"/>
      <c r="U54" s="314"/>
      <c r="V54" s="330"/>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c r="BQ54" s="314"/>
      <c r="BR54" s="314"/>
      <c r="BS54" s="314"/>
      <c r="BT54" s="314"/>
      <c r="BU54" s="314"/>
      <c r="BV54" s="314"/>
      <c r="BW54" s="314"/>
      <c r="BX54" s="314"/>
      <c r="BY54" s="314"/>
      <c r="BZ54" s="314"/>
      <c r="CA54" s="314"/>
      <c r="CB54" s="314"/>
      <c r="CC54" s="314"/>
      <c r="CD54" s="314"/>
      <c r="CE54" s="314"/>
      <c r="CF54" s="314"/>
      <c r="CG54" s="314"/>
      <c r="CH54" s="314"/>
      <c r="CI54" s="314"/>
      <c r="CJ54" s="314"/>
      <c r="CK54" s="314"/>
      <c r="CL54" s="314"/>
      <c r="CM54" s="314"/>
      <c r="CN54" s="314"/>
      <c r="CO54" s="314"/>
      <c r="CP54" s="314"/>
      <c r="CQ54" s="314"/>
      <c r="CR54" s="314"/>
      <c r="CS54" s="314"/>
      <c r="CT54" s="314"/>
      <c r="CU54" s="314"/>
      <c r="CV54" s="314"/>
      <c r="CW54" s="314"/>
      <c r="CX54" s="314"/>
      <c r="CY54" s="314"/>
      <c r="CZ54" s="314"/>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c r="FL54" s="314"/>
      <c r="FM54" s="314"/>
      <c r="FN54" s="314"/>
      <c r="FO54" s="314"/>
      <c r="FP54" s="314"/>
      <c r="FQ54" s="314"/>
      <c r="FR54" s="314"/>
      <c r="FS54" s="314"/>
      <c r="FT54" s="314"/>
      <c r="FU54" s="314"/>
      <c r="FV54" s="314"/>
      <c r="FW54" s="314"/>
      <c r="FX54" s="314"/>
      <c r="FY54" s="314"/>
      <c r="FZ54" s="314"/>
      <c r="GA54" s="314"/>
      <c r="GB54" s="314"/>
      <c r="GC54" s="314"/>
      <c r="GD54" s="314"/>
      <c r="GE54" s="314"/>
      <c r="GF54" s="314"/>
      <c r="GG54" s="314"/>
      <c r="GH54" s="314"/>
      <c r="GI54" s="314"/>
      <c r="GJ54" s="314"/>
      <c r="GK54" s="314"/>
      <c r="GL54" s="314"/>
      <c r="GM54" s="314"/>
      <c r="GN54" s="314"/>
      <c r="GO54" s="314"/>
      <c r="GP54" s="314"/>
      <c r="GQ54" s="314"/>
      <c r="GR54" s="314"/>
      <c r="GS54" s="314"/>
      <c r="GT54" s="314"/>
      <c r="GU54" s="314"/>
      <c r="GV54" s="314"/>
      <c r="GW54" s="314"/>
      <c r="GX54" s="314"/>
      <c r="GY54" s="314"/>
      <c r="GZ54" s="314"/>
      <c r="HA54" s="314"/>
      <c r="HB54" s="314"/>
      <c r="HC54" s="314"/>
      <c r="HD54" s="314"/>
      <c r="HE54" s="314"/>
      <c r="HF54" s="314"/>
      <c r="HG54" s="314"/>
      <c r="HH54" s="314"/>
      <c r="HI54" s="314"/>
      <c r="HJ54" s="314"/>
      <c r="HK54" s="314"/>
      <c r="HL54" s="314"/>
      <c r="HM54" s="314"/>
    </row>
    <row r="55" spans="1:221" x14ac:dyDescent="0.2">
      <c r="A55" s="338" t="s">
        <v>225</v>
      </c>
      <c r="B55" s="314"/>
      <c r="C55" s="314"/>
      <c r="D55" s="195"/>
      <c r="E55" s="345" t="s">
        <v>114</v>
      </c>
      <c r="F55" s="332"/>
      <c r="G55" s="114"/>
      <c r="H55" s="115"/>
      <c r="I55" s="258">
        <f>'Rider Rates'!B126</f>
        <v>5.83</v>
      </c>
      <c r="J55" s="344">
        <f>SUM(G55:I55)</f>
        <v>5.83</v>
      </c>
      <c r="K55" s="334"/>
      <c r="L55" s="105"/>
      <c r="M55" s="105"/>
      <c r="N55" s="260">
        <f>I55</f>
        <v>5.83</v>
      </c>
      <c r="O55" s="105">
        <f t="shared" si="1"/>
        <v>5.83</v>
      </c>
      <c r="P55" s="245">
        <f>'Rider Rates'!D126</f>
        <v>45226</v>
      </c>
      <c r="Q55" s="332"/>
      <c r="R55" s="107"/>
      <c r="S55" s="331"/>
      <c r="T55" s="109"/>
      <c r="U55" s="314"/>
      <c r="V55" s="330"/>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4"/>
      <c r="BO55" s="314"/>
      <c r="BP55" s="314"/>
      <c r="BQ55" s="314"/>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314"/>
      <c r="GN55" s="314"/>
      <c r="GO55" s="314"/>
      <c r="GP55" s="314"/>
      <c r="GQ55" s="314"/>
      <c r="GR55" s="314"/>
      <c r="GS55" s="314"/>
      <c r="GT55" s="314"/>
      <c r="GU55" s="314"/>
      <c r="GV55" s="314"/>
      <c r="GW55" s="314"/>
      <c r="GX55" s="314"/>
      <c r="GY55" s="314"/>
      <c r="GZ55" s="314"/>
      <c r="HA55" s="314"/>
      <c r="HB55" s="314"/>
      <c r="HC55" s="314"/>
      <c r="HD55" s="314"/>
      <c r="HE55" s="314"/>
      <c r="HF55" s="314"/>
      <c r="HG55" s="314"/>
      <c r="HH55" s="314"/>
      <c r="HI55" s="314"/>
      <c r="HJ55" s="314"/>
      <c r="HK55" s="314"/>
      <c r="HL55" s="314"/>
      <c r="HM55" s="314"/>
    </row>
    <row r="56" spans="1:221" x14ac:dyDescent="0.2">
      <c r="A56" s="338" t="s">
        <v>157</v>
      </c>
      <c r="B56" s="314"/>
      <c r="C56" s="314"/>
      <c r="D56" s="100">
        <f>IF('Customer Info'!$C$33=TRUE,0,'Customer Info'!$B$22+'Customer Info'!$B$23-'Customer Info'!$B$24)</f>
        <v>0</v>
      </c>
      <c r="E56" s="336" t="s">
        <v>41</v>
      </c>
      <c r="F56" s="335" t="s">
        <v>8</v>
      </c>
      <c r="G56" s="103">
        <f>'Rider Rates'!$B$116</f>
        <v>3.8972999999999998E-3</v>
      </c>
      <c r="H56" s="103"/>
      <c r="I56" s="120"/>
      <c r="J56" s="339">
        <f>SUM(G56:H56)</f>
        <v>3.8972999999999998E-3</v>
      </c>
      <c r="K56" s="334" t="s">
        <v>42</v>
      </c>
      <c r="L56" s="105">
        <f>ROUND(D56*G56,2)</f>
        <v>0</v>
      </c>
      <c r="M56" s="105"/>
      <c r="N56" s="105"/>
      <c r="O56" s="105">
        <f t="shared" si="1"/>
        <v>0</v>
      </c>
      <c r="P56" s="245">
        <f>'Rider Rates'!$D$117</f>
        <v>44531</v>
      </c>
      <c r="Q56" s="332"/>
      <c r="R56" s="107"/>
      <c r="S56" s="331"/>
      <c r="T56" s="109"/>
      <c r="U56" s="314"/>
      <c r="V56" s="330"/>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4"/>
      <c r="BO56" s="314"/>
      <c r="BP56" s="314"/>
      <c r="BQ56" s="314"/>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314"/>
      <c r="GN56" s="314"/>
      <c r="GO56" s="314"/>
      <c r="GP56" s="314"/>
      <c r="GQ56" s="314"/>
      <c r="GR56" s="314"/>
      <c r="GS56" s="314"/>
      <c r="GT56" s="314"/>
      <c r="GU56" s="314"/>
      <c r="GV56" s="314"/>
      <c r="GW56" s="314"/>
      <c r="GX56" s="314"/>
      <c r="GY56" s="314"/>
      <c r="GZ56" s="314"/>
      <c r="HA56" s="314"/>
      <c r="HB56" s="314"/>
      <c r="HC56" s="314"/>
      <c r="HD56" s="314"/>
      <c r="HE56" s="314"/>
      <c r="HF56" s="314"/>
      <c r="HG56" s="314"/>
      <c r="HH56" s="314"/>
      <c r="HI56" s="314"/>
      <c r="HJ56" s="314"/>
      <c r="HK56" s="314"/>
      <c r="HL56" s="314"/>
      <c r="HM56" s="314"/>
    </row>
    <row r="57" spans="1:221" x14ac:dyDescent="0.2">
      <c r="A57" s="338" t="s">
        <v>216</v>
      </c>
      <c r="B57" s="314"/>
      <c r="C57" s="314"/>
      <c r="D57" s="1">
        <f>IF($C$16&lt;1,0,$C$16)</f>
        <v>0</v>
      </c>
      <c r="E57" s="336" t="s">
        <v>41</v>
      </c>
      <c r="F57" s="340" t="s">
        <v>8</v>
      </c>
      <c r="G57" s="165"/>
      <c r="H57" s="165"/>
      <c r="I57" s="251">
        <f>'Rider Rates'!B122</f>
        <v>-6.2E-4</v>
      </c>
      <c r="J57" s="251">
        <f>SUM(G57:I57)</f>
        <v>-6.2E-4</v>
      </c>
      <c r="K57" s="334" t="s">
        <v>42</v>
      </c>
      <c r="L57" s="105"/>
      <c r="M57" s="105"/>
      <c r="N57" s="105">
        <f>D57*I57</f>
        <v>0</v>
      </c>
      <c r="O57" s="105">
        <f t="shared" si="1"/>
        <v>0</v>
      </c>
      <c r="P57" s="245">
        <f>'Rider Rates'!D122</f>
        <v>44531</v>
      </c>
      <c r="Q57" s="332"/>
      <c r="R57" s="107"/>
      <c r="S57" s="331"/>
      <c r="T57" s="109"/>
      <c r="U57" s="314"/>
      <c r="V57" s="330"/>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314"/>
      <c r="GN57" s="314"/>
      <c r="GO57" s="314"/>
      <c r="GP57" s="314"/>
      <c r="GQ57" s="314"/>
      <c r="GR57" s="314"/>
      <c r="GS57" s="314"/>
      <c r="GT57" s="314"/>
      <c r="GU57" s="314"/>
      <c r="GV57" s="314"/>
      <c r="GW57" s="314"/>
      <c r="GX57" s="314"/>
      <c r="GY57" s="314"/>
      <c r="GZ57" s="314"/>
      <c r="HA57" s="314"/>
      <c r="HB57" s="314"/>
      <c r="HC57" s="314"/>
      <c r="HD57" s="314"/>
      <c r="HE57" s="314"/>
      <c r="HF57" s="314"/>
      <c r="HG57" s="314"/>
      <c r="HH57" s="314"/>
      <c r="HI57" s="314"/>
      <c r="HJ57" s="314"/>
      <c r="HK57" s="314"/>
      <c r="HL57" s="314"/>
      <c r="HM57" s="314"/>
    </row>
    <row r="58" spans="1:221" x14ac:dyDescent="0.2">
      <c r="A58" s="314" t="s">
        <v>241</v>
      </c>
      <c r="B58" s="314"/>
      <c r="C58" s="314"/>
      <c r="D58" s="100">
        <f>IF(C16&lt;0,0,IF(C16&gt;833000,833000,C16))</f>
        <v>0</v>
      </c>
      <c r="E58" s="336" t="s">
        <v>41</v>
      </c>
      <c r="F58" s="335" t="s">
        <v>8</v>
      </c>
      <c r="G58" s="265"/>
      <c r="H58" s="265"/>
      <c r="I58" s="265">
        <f>'Rider Rates'!$B$130</f>
        <v>2.9050000000000001E-4</v>
      </c>
      <c r="J58" s="342">
        <f>SUM(G58:I58)</f>
        <v>2.9050000000000001E-4</v>
      </c>
      <c r="K58" s="334" t="s">
        <v>42</v>
      </c>
      <c r="L58" s="341"/>
      <c r="M58" s="341"/>
      <c r="N58" s="341">
        <f>IF(D58*J58&gt;'Rider Rates'!$C$130,'Rider Rates'!$C$130,D58*J58)</f>
        <v>0</v>
      </c>
      <c r="O58" s="341">
        <f t="shared" si="1"/>
        <v>0</v>
      </c>
      <c r="P58" s="264">
        <f>'Rider Rates'!$E$130</f>
        <v>45292</v>
      </c>
      <c r="Q58" s="332"/>
      <c r="R58" s="107"/>
      <c r="S58" s="331"/>
      <c r="T58" s="109"/>
      <c r="U58" s="314"/>
      <c r="V58" s="330"/>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c r="CC58" s="314"/>
      <c r="CD58" s="314"/>
      <c r="CE58" s="314"/>
      <c r="CF58" s="314"/>
      <c r="CG58" s="314"/>
      <c r="CH58" s="314"/>
      <c r="CI58" s="314"/>
      <c r="CJ58" s="314"/>
      <c r="CK58" s="314"/>
      <c r="CL58" s="314"/>
      <c r="CM58" s="314"/>
      <c r="CN58" s="314"/>
      <c r="CO58" s="314"/>
      <c r="CP58" s="314"/>
      <c r="CQ58" s="314"/>
      <c r="CR58" s="314"/>
      <c r="CS58" s="314"/>
      <c r="CT58" s="314"/>
      <c r="CU58" s="314"/>
      <c r="CV58" s="314"/>
      <c r="CW58" s="314"/>
      <c r="CX58" s="314"/>
      <c r="CY58" s="314"/>
      <c r="CZ58" s="314"/>
      <c r="DA58" s="314"/>
      <c r="DB58" s="314"/>
      <c r="DC58" s="314"/>
      <c r="DD58" s="314"/>
      <c r="DE58" s="314"/>
      <c r="DF58" s="314"/>
      <c r="DG58" s="314"/>
      <c r="DH58" s="314"/>
      <c r="DI58" s="314"/>
      <c r="DJ58" s="314"/>
      <c r="DK58" s="314"/>
      <c r="DL58" s="314"/>
      <c r="DM58" s="314"/>
      <c r="DN58" s="314"/>
      <c r="DO58" s="314"/>
      <c r="DP58" s="314"/>
      <c r="DQ58" s="314"/>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c r="FI58" s="314"/>
      <c r="FJ58" s="314"/>
      <c r="FK58" s="314"/>
      <c r="FL58" s="314"/>
      <c r="FM58" s="314"/>
      <c r="FN58" s="314"/>
      <c r="FO58" s="314"/>
      <c r="FP58" s="314"/>
      <c r="FQ58" s="314"/>
      <c r="FR58" s="314"/>
      <c r="FS58" s="314"/>
      <c r="FT58" s="314"/>
      <c r="FU58" s="314"/>
      <c r="FV58" s="314"/>
      <c r="FW58" s="314"/>
      <c r="FX58" s="314"/>
      <c r="FY58" s="314"/>
      <c r="FZ58" s="314"/>
      <c r="GA58" s="314"/>
      <c r="GB58" s="314"/>
      <c r="GC58" s="314"/>
      <c r="GD58" s="314"/>
      <c r="GE58" s="314"/>
      <c r="GF58" s="314"/>
      <c r="GG58" s="314"/>
      <c r="GH58" s="314"/>
      <c r="GI58" s="314"/>
      <c r="GJ58" s="314"/>
      <c r="GK58" s="314"/>
      <c r="GL58" s="314"/>
      <c r="GM58" s="314"/>
      <c r="GN58" s="314"/>
      <c r="GO58" s="314"/>
      <c r="GP58" s="314"/>
      <c r="GQ58" s="314"/>
      <c r="GR58" s="314"/>
      <c r="GS58" s="314"/>
      <c r="GT58" s="314"/>
      <c r="GU58" s="314"/>
      <c r="GV58" s="314"/>
      <c r="GW58" s="314"/>
      <c r="GX58" s="314"/>
      <c r="GY58" s="314"/>
      <c r="GZ58" s="314"/>
      <c r="HA58" s="314"/>
      <c r="HB58" s="314"/>
      <c r="HC58" s="314"/>
      <c r="HD58" s="314"/>
      <c r="HE58" s="314"/>
      <c r="HF58" s="314"/>
      <c r="HG58" s="314"/>
      <c r="HH58" s="314"/>
      <c r="HI58" s="314"/>
      <c r="HJ58" s="314"/>
      <c r="HK58" s="314"/>
      <c r="HL58" s="314"/>
      <c r="HM58" s="314"/>
    </row>
    <row r="59" spans="1:221" x14ac:dyDescent="0.2">
      <c r="A59" s="314" t="s">
        <v>242</v>
      </c>
      <c r="B59" s="314"/>
      <c r="C59" s="314"/>
      <c r="D59" s="123">
        <f>IF(C16&gt;833000,C16-833000,0)</f>
        <v>0</v>
      </c>
      <c r="E59" s="336" t="s">
        <v>41</v>
      </c>
      <c r="F59" s="335" t="s">
        <v>8</v>
      </c>
      <c r="G59" s="265"/>
      <c r="H59" s="265"/>
      <c r="I59" s="265">
        <f>'Rider Rates'!$B$131</f>
        <v>0</v>
      </c>
      <c r="J59" s="342">
        <f>SUM(G59:I59)</f>
        <v>0</v>
      </c>
      <c r="K59" s="334" t="s">
        <v>42</v>
      </c>
      <c r="L59" s="341"/>
      <c r="M59" s="341"/>
      <c r="N59" s="341">
        <f>D59*J59</f>
        <v>0</v>
      </c>
      <c r="O59" s="341">
        <f t="shared" si="1"/>
        <v>0</v>
      </c>
      <c r="P59" s="264">
        <f>'Rider Rates'!$E$131</f>
        <v>44927</v>
      </c>
      <c r="Q59" s="332"/>
      <c r="R59" s="107"/>
      <c r="S59" s="331"/>
      <c r="T59" s="109"/>
      <c r="U59" s="314"/>
      <c r="V59" s="330"/>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314"/>
      <c r="GN59" s="314"/>
      <c r="GO59" s="314"/>
      <c r="GP59" s="314"/>
      <c r="GQ59" s="314"/>
      <c r="GR59" s="314"/>
      <c r="GS59" s="314"/>
      <c r="GT59" s="314"/>
      <c r="GU59" s="314"/>
      <c r="GV59" s="314"/>
      <c r="GW59" s="314"/>
      <c r="GX59" s="314"/>
      <c r="GY59" s="314"/>
      <c r="GZ59" s="314"/>
      <c r="HA59" s="314"/>
      <c r="HB59" s="314"/>
      <c r="HC59" s="314"/>
      <c r="HD59" s="314"/>
      <c r="HE59" s="314"/>
      <c r="HF59" s="314"/>
      <c r="HG59" s="314"/>
      <c r="HH59" s="314"/>
      <c r="HI59" s="314"/>
      <c r="HJ59" s="314"/>
      <c r="HK59" s="314"/>
      <c r="HL59" s="314"/>
      <c r="HM59" s="314"/>
    </row>
    <row r="60" spans="1:221" x14ac:dyDescent="0.2">
      <c r="A60" s="338" t="s">
        <v>250</v>
      </c>
      <c r="B60" s="314"/>
      <c r="C60" s="314"/>
      <c r="D60" s="100">
        <f>D16</f>
        <v>0</v>
      </c>
      <c r="E60" s="336" t="s">
        <v>41</v>
      </c>
      <c r="F60" s="340" t="s">
        <v>8</v>
      </c>
      <c r="G60" s="103"/>
      <c r="H60" s="103"/>
      <c r="I60" s="103">
        <f>'Rider Rates'!$B$135</f>
        <v>0</v>
      </c>
      <c r="J60" s="339">
        <f>SUM(G60:I60)</f>
        <v>0</v>
      </c>
      <c r="K60" s="334" t="s">
        <v>42</v>
      </c>
      <c r="L60" s="105"/>
      <c r="M60" s="105"/>
      <c r="N60" s="105">
        <f>D60*J60</f>
        <v>0</v>
      </c>
      <c r="O60" s="105">
        <f t="shared" si="1"/>
        <v>0</v>
      </c>
      <c r="P60" s="245">
        <f>'Rider Rates'!$D$135</f>
        <v>44531</v>
      </c>
      <c r="Q60" s="332"/>
      <c r="R60" s="107"/>
      <c r="S60" s="331"/>
      <c r="T60" s="109"/>
      <c r="U60" s="314"/>
      <c r="V60" s="330"/>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4"/>
      <c r="BO60" s="314"/>
      <c r="BP60" s="314"/>
      <c r="BQ60" s="314"/>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c r="FI60" s="314"/>
      <c r="FJ60" s="314"/>
      <c r="FK60" s="314"/>
      <c r="FL60" s="314"/>
      <c r="FM60" s="314"/>
      <c r="FN60" s="314"/>
      <c r="FO60" s="314"/>
      <c r="FP60" s="314"/>
      <c r="FQ60" s="314"/>
      <c r="FR60" s="314"/>
      <c r="FS60" s="314"/>
      <c r="FT60" s="314"/>
      <c r="FU60" s="314"/>
      <c r="FV60" s="314"/>
      <c r="FW60" s="314"/>
      <c r="FX60" s="314"/>
      <c r="FY60" s="314"/>
      <c r="FZ60" s="314"/>
      <c r="GA60" s="314"/>
      <c r="GB60" s="314"/>
      <c r="GC60" s="314"/>
      <c r="GD60" s="314"/>
      <c r="GE60" s="314"/>
      <c r="GF60" s="314"/>
      <c r="GG60" s="314"/>
      <c r="GH60" s="314"/>
      <c r="GI60" s="314"/>
      <c r="GJ60" s="314"/>
      <c r="GK60" s="314"/>
      <c r="GL60" s="314"/>
      <c r="GM60" s="314"/>
      <c r="GN60" s="314"/>
      <c r="GO60" s="314"/>
      <c r="GP60" s="314"/>
      <c r="GQ60" s="314"/>
      <c r="GR60" s="314"/>
      <c r="GS60" s="314"/>
      <c r="GT60" s="314"/>
      <c r="GU60" s="314"/>
      <c r="GV60" s="314"/>
      <c r="GW60" s="314"/>
      <c r="GX60" s="314"/>
      <c r="GY60" s="314"/>
      <c r="GZ60" s="314"/>
      <c r="HA60" s="314"/>
      <c r="HB60" s="314"/>
      <c r="HC60" s="314"/>
      <c r="HD60" s="314"/>
      <c r="HE60" s="314"/>
      <c r="HF60" s="314"/>
      <c r="HG60" s="314"/>
      <c r="HH60" s="314"/>
      <c r="HI60" s="314"/>
      <c r="HJ60" s="314"/>
      <c r="HK60" s="314"/>
      <c r="HL60" s="314"/>
      <c r="HM60" s="314"/>
    </row>
    <row r="61" spans="1:221" x14ac:dyDescent="0.2">
      <c r="A61" s="338" t="s">
        <v>249</v>
      </c>
      <c r="B61" s="314"/>
      <c r="C61" s="314"/>
      <c r="D61" s="337"/>
      <c r="E61" s="336" t="s">
        <v>114</v>
      </c>
      <c r="F61" s="335" t="s">
        <v>8</v>
      </c>
      <c r="G61" s="263"/>
      <c r="H61" s="263"/>
      <c r="I61" s="263">
        <f>'Rider Rates'!$B$142</f>
        <v>0</v>
      </c>
      <c r="J61" s="263">
        <f>SUM(G61:I61)</f>
        <v>0</v>
      </c>
      <c r="K61" s="334"/>
      <c r="L61" s="209"/>
      <c r="M61" s="209"/>
      <c r="N61" s="209">
        <f>J61</f>
        <v>0</v>
      </c>
      <c r="O61" s="209">
        <f t="shared" si="1"/>
        <v>0</v>
      </c>
      <c r="P61" s="264">
        <f>'Rider Rates'!$D$142</f>
        <v>44531</v>
      </c>
      <c r="Q61" s="332"/>
      <c r="R61" s="107"/>
      <c r="S61" s="331"/>
      <c r="T61" s="109"/>
      <c r="U61" s="314"/>
      <c r="V61" s="330"/>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4"/>
      <c r="BO61" s="314"/>
      <c r="BP61" s="314"/>
      <c r="BQ61" s="314"/>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4"/>
      <c r="FX61" s="314"/>
      <c r="FY61" s="314"/>
      <c r="FZ61" s="314"/>
      <c r="GA61" s="314"/>
      <c r="GB61" s="314"/>
      <c r="GC61" s="314"/>
      <c r="GD61" s="314"/>
      <c r="GE61" s="314"/>
      <c r="GF61" s="314"/>
      <c r="GG61" s="314"/>
      <c r="GH61" s="314"/>
      <c r="GI61" s="314"/>
      <c r="GJ61" s="314"/>
      <c r="GK61" s="314"/>
      <c r="GL61" s="314"/>
      <c r="GM61" s="314"/>
      <c r="GN61" s="314"/>
      <c r="GO61" s="314"/>
      <c r="GP61" s="314"/>
      <c r="GQ61" s="314"/>
      <c r="GR61" s="314"/>
      <c r="GS61" s="314"/>
      <c r="GT61" s="314"/>
      <c r="GU61" s="314"/>
      <c r="GV61" s="314"/>
      <c r="GW61" s="314"/>
      <c r="GX61" s="314"/>
      <c r="GY61" s="314"/>
      <c r="GZ61" s="314"/>
      <c r="HA61" s="314"/>
      <c r="HB61" s="314"/>
      <c r="HC61" s="314"/>
      <c r="HD61" s="314"/>
      <c r="HE61" s="314"/>
      <c r="HF61" s="314"/>
      <c r="HG61" s="314"/>
      <c r="HH61" s="314"/>
      <c r="HI61" s="314"/>
      <c r="HJ61" s="314"/>
      <c r="HK61" s="314"/>
      <c r="HL61" s="314"/>
      <c r="HM61" s="314"/>
    </row>
    <row r="62" spans="1:221" x14ac:dyDescent="0.2">
      <c r="A62" s="338" t="s">
        <v>251</v>
      </c>
      <c r="B62" s="314"/>
      <c r="C62" s="314"/>
      <c r="D62" s="337"/>
      <c r="E62" s="336"/>
      <c r="F62" s="335"/>
      <c r="G62" s="263"/>
      <c r="H62" s="263"/>
      <c r="I62" s="263"/>
      <c r="J62" s="263"/>
      <c r="K62" s="334"/>
      <c r="L62" s="209"/>
      <c r="M62" s="209"/>
      <c r="N62" s="209"/>
      <c r="O62" s="209"/>
      <c r="P62" s="333"/>
      <c r="Q62" s="332"/>
      <c r="R62" s="107"/>
      <c r="S62" s="331"/>
      <c r="T62" s="109"/>
      <c r="U62" s="314"/>
      <c r="V62" s="330"/>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4"/>
      <c r="BK62" s="314"/>
      <c r="BL62" s="314"/>
      <c r="BM62" s="314"/>
      <c r="BN62" s="314"/>
      <c r="BO62" s="314"/>
      <c r="BP62" s="314"/>
      <c r="BQ62" s="314"/>
      <c r="BR62" s="314"/>
      <c r="BS62" s="314"/>
      <c r="BT62" s="314"/>
      <c r="BU62" s="314"/>
      <c r="BV62" s="314"/>
      <c r="BW62" s="314"/>
      <c r="BX62" s="314"/>
      <c r="BY62" s="314"/>
      <c r="BZ62" s="314"/>
      <c r="CA62" s="314"/>
      <c r="CB62" s="314"/>
      <c r="CC62" s="314"/>
      <c r="CD62" s="314"/>
      <c r="CE62" s="314"/>
      <c r="CF62" s="314"/>
      <c r="CG62" s="314"/>
      <c r="CH62" s="314"/>
      <c r="CI62" s="314"/>
      <c r="CJ62" s="314"/>
      <c r="CK62" s="314"/>
      <c r="CL62" s="314"/>
      <c r="CM62" s="314"/>
      <c r="CN62" s="314"/>
      <c r="CO62" s="314"/>
      <c r="CP62" s="314"/>
      <c r="CQ62" s="314"/>
      <c r="CR62" s="314"/>
      <c r="CS62" s="314"/>
      <c r="CT62" s="314"/>
      <c r="CU62" s="314"/>
      <c r="CV62" s="314"/>
      <c r="CW62" s="314"/>
      <c r="CX62" s="314"/>
      <c r="CY62" s="314"/>
      <c r="CZ62" s="314"/>
      <c r="DA62" s="314"/>
      <c r="DB62" s="314"/>
      <c r="DC62" s="314"/>
      <c r="DD62" s="314"/>
      <c r="DE62" s="314"/>
      <c r="DF62" s="314"/>
      <c r="DG62" s="314"/>
      <c r="DH62" s="314"/>
      <c r="DI62" s="314"/>
      <c r="DJ62" s="314"/>
      <c r="DK62" s="314"/>
      <c r="DL62" s="314"/>
      <c r="DM62" s="314"/>
      <c r="DN62" s="314"/>
      <c r="DO62" s="314"/>
      <c r="DP62" s="314"/>
      <c r="DQ62" s="314"/>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c r="FI62" s="314"/>
      <c r="FJ62" s="314"/>
      <c r="FK62" s="314"/>
      <c r="FL62" s="314"/>
      <c r="FM62" s="314"/>
      <c r="FN62" s="314"/>
      <c r="FO62" s="314"/>
      <c r="FP62" s="314"/>
      <c r="FQ62" s="314"/>
      <c r="FR62" s="314"/>
      <c r="FS62" s="314"/>
      <c r="FT62" s="314"/>
      <c r="FU62" s="314"/>
      <c r="FV62" s="314"/>
      <c r="FW62" s="314"/>
      <c r="FX62" s="314"/>
      <c r="FY62" s="314"/>
      <c r="FZ62" s="314"/>
      <c r="GA62" s="314"/>
      <c r="GB62" s="314"/>
      <c r="GC62" s="314"/>
      <c r="GD62" s="314"/>
      <c r="GE62" s="314"/>
      <c r="GF62" s="314"/>
      <c r="GG62" s="314"/>
      <c r="GH62" s="314"/>
      <c r="GI62" s="314"/>
      <c r="GJ62" s="314"/>
      <c r="GK62" s="314"/>
      <c r="GL62" s="314"/>
      <c r="GM62" s="314"/>
      <c r="GN62" s="314"/>
      <c r="GO62" s="314"/>
      <c r="GP62" s="314"/>
      <c r="GQ62" s="314"/>
      <c r="GR62" s="314"/>
      <c r="GS62" s="314"/>
      <c r="GT62" s="314"/>
      <c r="GU62" s="314"/>
      <c r="GV62" s="314"/>
      <c r="GW62" s="314"/>
      <c r="GX62" s="314"/>
      <c r="GY62" s="314"/>
      <c r="GZ62" s="314"/>
      <c r="HA62" s="314"/>
      <c r="HB62" s="314"/>
      <c r="HC62" s="314"/>
      <c r="HD62" s="314"/>
      <c r="HE62" s="314"/>
      <c r="HF62" s="314"/>
      <c r="HG62" s="314"/>
      <c r="HH62" s="314"/>
      <c r="HI62" s="314"/>
      <c r="HJ62" s="314"/>
      <c r="HK62" s="314"/>
      <c r="HL62" s="314"/>
      <c r="HM62" s="314"/>
    </row>
    <row r="63" spans="1:221" x14ac:dyDescent="0.2">
      <c r="A63" s="329" t="s">
        <v>70</v>
      </c>
      <c r="B63" s="328"/>
      <c r="C63" s="328"/>
      <c r="D63" s="327"/>
      <c r="E63" s="326"/>
      <c r="F63" s="325"/>
      <c r="G63" s="325"/>
      <c r="H63" s="325"/>
      <c r="I63" s="325"/>
      <c r="J63" s="325"/>
      <c r="K63" s="324"/>
      <c r="L63" s="323">
        <f>SUM(L34:L62)</f>
        <v>0</v>
      </c>
      <c r="M63" s="323">
        <f>SUM(M34:M62)</f>
        <v>0</v>
      </c>
      <c r="N63" s="323">
        <f>SUM(N34:N62)</f>
        <v>20.700000000000003</v>
      </c>
      <c r="O63" s="323">
        <f>SUM(O34:O62)</f>
        <v>20.700000000000003</v>
      </c>
      <c r="P63" s="322"/>
    </row>
    <row r="64" spans="1:221" x14ac:dyDescent="0.2">
      <c r="A64" s="302"/>
      <c r="D64" s="321"/>
      <c r="E64" s="320"/>
      <c r="F64" s="307"/>
      <c r="G64" s="42"/>
      <c r="H64" s="42"/>
      <c r="I64" s="42"/>
      <c r="J64" s="42"/>
      <c r="K64" s="311"/>
      <c r="L64" s="311"/>
      <c r="M64" s="311"/>
      <c r="N64" s="311"/>
      <c r="O64" s="34"/>
      <c r="P64" s="311"/>
    </row>
    <row r="65" spans="1:16" x14ac:dyDescent="0.2">
      <c r="A65" s="376" t="s">
        <v>71</v>
      </c>
      <c r="B65" s="319"/>
      <c r="C65" s="319"/>
      <c r="D65" s="319"/>
      <c r="E65" s="319"/>
      <c r="F65" s="319"/>
      <c r="G65" s="319"/>
      <c r="H65" s="319"/>
      <c r="I65" s="319"/>
      <c r="J65" s="319"/>
      <c r="K65" s="319"/>
      <c r="L65" s="98">
        <f>L30+L63</f>
        <v>0</v>
      </c>
      <c r="M65" s="98">
        <f>M30+M63</f>
        <v>0</v>
      </c>
      <c r="N65" s="98">
        <f>N30+N63</f>
        <v>30.1</v>
      </c>
      <c r="O65" s="98">
        <f>O30+O63</f>
        <v>30.1</v>
      </c>
      <c r="P65" s="98"/>
    </row>
    <row r="66" spans="1:16" x14ac:dyDescent="0.2">
      <c r="A66" s="302"/>
      <c r="B66" s="302"/>
      <c r="C66" s="302"/>
      <c r="D66" s="302"/>
      <c r="E66" s="302"/>
      <c r="F66" s="302"/>
      <c r="G66" s="302"/>
      <c r="H66" s="302"/>
      <c r="I66" s="302"/>
      <c r="J66" s="302"/>
      <c r="K66" s="302"/>
      <c r="L66" s="302"/>
      <c r="M66" s="302"/>
      <c r="N66" s="302"/>
      <c r="O66" s="40"/>
      <c r="P66" s="40"/>
    </row>
    <row r="67" spans="1:16" x14ac:dyDescent="0.2">
      <c r="A67" s="302" t="s">
        <v>37</v>
      </c>
      <c r="B67" s="302"/>
      <c r="C67" s="302"/>
      <c r="D67" s="302"/>
      <c r="E67" s="302"/>
      <c r="F67" s="302"/>
      <c r="G67" s="302"/>
      <c r="H67" s="302"/>
      <c r="I67" s="302"/>
      <c r="J67" s="302"/>
      <c r="K67" s="302"/>
      <c r="L67" s="302"/>
      <c r="M67" s="302"/>
      <c r="N67" s="302"/>
      <c r="O67" s="45">
        <f>O26+O28+O63</f>
        <v>30.1</v>
      </c>
      <c r="P67" s="318">
        <v>40967</v>
      </c>
    </row>
    <row r="68" spans="1:16" x14ac:dyDescent="0.2">
      <c r="A68" s="302"/>
      <c r="B68" s="302"/>
      <c r="C68" s="302"/>
      <c r="D68" s="302"/>
      <c r="E68" s="302"/>
      <c r="F68" s="302"/>
      <c r="G68" s="312"/>
      <c r="H68" s="312"/>
      <c r="I68" s="312"/>
      <c r="J68" s="312"/>
      <c r="K68" s="311"/>
      <c r="L68" s="311"/>
      <c r="M68" s="311"/>
      <c r="N68" s="311"/>
      <c r="O68" s="40"/>
    </row>
    <row r="69" spans="1:16" x14ac:dyDescent="0.2">
      <c r="A69" s="305" t="s">
        <v>116</v>
      </c>
      <c r="B69" s="302"/>
      <c r="C69" s="302"/>
      <c r="D69" s="302"/>
      <c r="E69" s="302"/>
      <c r="F69" s="302"/>
      <c r="G69" s="312"/>
      <c r="H69" s="312"/>
      <c r="I69" s="312"/>
      <c r="J69" s="312"/>
      <c r="K69" s="311"/>
      <c r="L69" s="311"/>
      <c r="M69" s="311"/>
      <c r="N69" s="311"/>
      <c r="O69" s="138">
        <f>MAX($O$65,$O$67)</f>
        <v>30.1</v>
      </c>
    </row>
    <row r="70" spans="1:16" x14ac:dyDescent="0.2">
      <c r="A70" s="302"/>
      <c r="B70" s="302"/>
      <c r="C70" s="302"/>
      <c r="D70" s="302"/>
      <c r="E70" s="302"/>
      <c r="F70" s="302"/>
      <c r="G70" s="312"/>
      <c r="H70" s="312"/>
      <c r="I70" s="312"/>
      <c r="J70" s="312"/>
      <c r="K70" s="311"/>
      <c r="L70" s="311"/>
      <c r="M70" s="311"/>
      <c r="N70" s="311"/>
      <c r="O70" s="40"/>
    </row>
    <row r="71" spans="1:16" x14ac:dyDescent="0.2">
      <c r="A71" s="302"/>
      <c r="B71" s="302"/>
      <c r="C71" s="302"/>
      <c r="D71" s="302"/>
      <c r="E71" s="302"/>
      <c r="F71" s="302"/>
      <c r="G71" s="304" t="s">
        <v>85</v>
      </c>
      <c r="H71" s="312"/>
      <c r="I71" s="302"/>
      <c r="J71" s="312"/>
      <c r="K71" s="311"/>
      <c r="L71" s="317"/>
      <c r="M71" s="317"/>
      <c r="N71" s="317"/>
      <c r="O71" s="317">
        <f>ROUND(IF($C$16&lt;1,0,$O$69/($C$16*100)*10000),2)</f>
        <v>0</v>
      </c>
      <c r="P71" s="302" t="s">
        <v>86</v>
      </c>
    </row>
    <row r="72" spans="1:16" x14ac:dyDescent="0.2">
      <c r="A72" s="302"/>
      <c r="B72" s="302"/>
      <c r="C72" s="302"/>
      <c r="D72" s="302"/>
      <c r="E72" s="302"/>
      <c r="F72" s="302"/>
      <c r="G72" s="316" t="s">
        <v>198</v>
      </c>
      <c r="H72" s="136"/>
      <c r="I72" s="301"/>
      <c r="J72" s="136"/>
      <c r="K72" s="315"/>
      <c r="L72" s="314"/>
      <c r="M72" s="314"/>
      <c r="N72" s="314"/>
      <c r="O72" s="313">
        <f>ROUND(IF($C$16&lt;1,0,(L65)/($C$16*100)*10000),2)</f>
        <v>0</v>
      </c>
      <c r="P72" s="299" t="s">
        <v>86</v>
      </c>
    </row>
    <row r="73" spans="1:16" x14ac:dyDescent="0.2">
      <c r="A73" s="302"/>
      <c r="B73" s="302"/>
      <c r="C73" s="302"/>
      <c r="D73" s="302"/>
      <c r="E73" s="302"/>
      <c r="F73" s="302"/>
      <c r="G73" s="304"/>
      <c r="H73" s="312"/>
      <c r="I73" s="304"/>
      <c r="J73" s="312"/>
      <c r="K73" s="311"/>
      <c r="L73" s="311"/>
      <c r="M73" s="311"/>
      <c r="N73" s="311"/>
      <c r="O73" s="130"/>
      <c r="P73" s="302"/>
    </row>
    <row r="74" spans="1:16" ht="20.25" customHeight="1" x14ac:dyDescent="0.3">
      <c r="A74" s="308"/>
      <c r="B74" s="302"/>
      <c r="C74" s="302"/>
      <c r="D74" s="228" t="s">
        <v>15</v>
      </c>
      <c r="E74" s="308"/>
      <c r="F74" s="307"/>
      <c r="G74" s="310"/>
      <c r="H74" s="306"/>
      <c r="I74" s="34"/>
      <c r="J74" s="306"/>
      <c r="K74" s="302"/>
      <c r="L74" s="302"/>
      <c r="M74" s="302"/>
      <c r="N74" s="34"/>
    </row>
    <row r="75" spans="1:16" x14ac:dyDescent="0.2">
      <c r="A75" s="302"/>
      <c r="B75" s="302"/>
      <c r="C75" s="302"/>
      <c r="D75" s="309"/>
      <c r="E75" s="308"/>
      <c r="F75" s="307"/>
      <c r="G75" s="306"/>
      <c r="H75" s="306"/>
      <c r="I75" s="93"/>
      <c r="J75" s="306"/>
      <c r="K75" s="302"/>
      <c r="L75" s="302"/>
      <c r="M75" s="302"/>
      <c r="N75" s="302"/>
      <c r="O75" s="40"/>
    </row>
    <row r="76" spans="1:16" x14ac:dyDescent="0.2">
      <c r="A76" s="302"/>
      <c r="B76" s="302"/>
      <c r="C76" s="302"/>
      <c r="D76" s="309"/>
      <c r="E76" s="308"/>
      <c r="F76" s="307"/>
      <c r="G76" s="306"/>
      <c r="H76" s="306"/>
      <c r="I76" s="306"/>
      <c r="J76" s="306"/>
      <c r="K76" s="302"/>
      <c r="L76" s="302"/>
      <c r="M76" s="302"/>
      <c r="N76" s="302"/>
      <c r="O76" s="40"/>
    </row>
    <row r="77" spans="1:16" x14ac:dyDescent="0.2">
      <c r="A77" s="305"/>
      <c r="B77" s="302"/>
      <c r="C77" s="302"/>
      <c r="D77" s="302"/>
      <c r="E77" s="302"/>
      <c r="F77" s="302"/>
      <c r="G77" s="302"/>
      <c r="H77" s="302"/>
      <c r="J77" s="302"/>
      <c r="K77" s="302"/>
      <c r="L77" s="40"/>
      <c r="M77" s="40"/>
      <c r="N77" s="40"/>
      <c r="O77" s="138"/>
    </row>
    <row r="78" spans="1:16" x14ac:dyDescent="0.2">
      <c r="B78" s="302"/>
      <c r="C78" s="302"/>
      <c r="D78" s="302"/>
      <c r="E78" s="302"/>
      <c r="F78" s="302"/>
      <c r="G78" s="304"/>
      <c r="H78" s="302"/>
      <c r="I78" s="302"/>
      <c r="J78" s="302"/>
      <c r="K78" s="302"/>
      <c r="L78" s="303"/>
      <c r="M78" s="303"/>
      <c r="N78" s="303"/>
      <c r="O78" s="130"/>
      <c r="P78" s="302"/>
    </row>
    <row r="79" spans="1:16" x14ac:dyDescent="0.2">
      <c r="G79" s="301"/>
      <c r="H79" s="300"/>
      <c r="I79" s="301"/>
      <c r="J79" s="300"/>
      <c r="K79" s="300"/>
      <c r="L79" s="134"/>
      <c r="M79" s="134"/>
      <c r="N79" s="134"/>
      <c r="O79" s="135"/>
      <c r="P79" s="299"/>
    </row>
    <row r="81" spans="1:1" x14ac:dyDescent="0.2">
      <c r="A81" s="580"/>
    </row>
    <row r="82" spans="1:1" x14ac:dyDescent="0.2">
      <c r="A82" s="580"/>
    </row>
    <row r="83" spans="1:1" x14ac:dyDescent="0.2">
      <c r="A83" s="580"/>
    </row>
    <row r="84" spans="1:1" x14ac:dyDescent="0.2">
      <c r="A84" s="580"/>
    </row>
    <row r="85" spans="1:1" x14ac:dyDescent="0.2">
      <c r="A85" s="580"/>
    </row>
    <row r="86" spans="1:1" x14ac:dyDescent="0.2">
      <c r="A86" s="580"/>
    </row>
    <row r="87" spans="1:1" x14ac:dyDescent="0.2">
      <c r="A87" s="580"/>
    </row>
    <row r="88" spans="1:1" x14ac:dyDescent="0.2">
      <c r="A88" s="580"/>
    </row>
    <row r="89" spans="1:1" x14ac:dyDescent="0.2">
      <c r="A89" s="580"/>
    </row>
    <row r="90" spans="1:1" x14ac:dyDescent="0.2">
      <c r="A90" s="580"/>
    </row>
    <row r="91" spans="1:1" x14ac:dyDescent="0.2">
      <c r="A91" s="580"/>
    </row>
    <row r="92" spans="1:1" x14ac:dyDescent="0.2">
      <c r="A92" s="580"/>
    </row>
    <row r="93" spans="1:1" x14ac:dyDescent="0.2">
      <c r="A93" s="580"/>
    </row>
    <row r="94" spans="1:1" x14ac:dyDescent="0.2">
      <c r="A94" s="580"/>
    </row>
    <row r="95" spans="1:1" x14ac:dyDescent="0.2">
      <c r="A95" s="580"/>
    </row>
  </sheetData>
  <sheetProtection algorithmName="SHA-512" hashValue="NzqqS+PDIUkgGD1CjburBSAOEqm/HR5q8+XUMBbi92D75TAJYI2s+yFeVUoz4KrkKHkVY9cZKzGNmL4tI6ZZZA==" saltValue="PyxkZy+9lsBypjTjJQCZcQ==" spinCount="100000" sheet="1" objects="1" scenarios="1"/>
  <mergeCells count="26">
    <mergeCell ref="A81:A95"/>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58722" r:id="rId5" name="Button 2">
              <controlPr defaultSize="0" print="0" autoFill="0" autoPict="0" macro="[0]!Info">
                <anchor moveWithCells="1">
                  <from>
                    <xdr:col>15</xdr:col>
                    <xdr:colOff>276225</xdr:colOff>
                    <xdr:row>89</xdr:row>
                    <xdr:rowOff>47625</xdr:rowOff>
                  </from>
                  <to>
                    <xdr:col>16</xdr:col>
                    <xdr:colOff>28575</xdr:colOff>
                    <xdr:row>90</xdr:row>
                    <xdr:rowOff>104775</xdr:rowOff>
                  </to>
                </anchor>
              </controlPr>
            </control>
          </mc:Choice>
        </mc:AlternateContent>
        <mc:AlternateContent xmlns:mc="http://schemas.openxmlformats.org/markup-compatibility/2006">
          <mc:Choice Requires="x14">
            <control shapeId="15872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5872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2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2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3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5873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5873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5873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5874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5874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4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4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5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5875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5875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5875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5876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5876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6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6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7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5877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5877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5877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5877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5877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codeName="Sheet4">
    <pageSetUpPr fitToPage="1"/>
  </sheetPr>
  <dimension ref="A1:A36"/>
  <sheetViews>
    <sheetView showGridLines="0" workbookViewId="0">
      <selection activeCell="A12" sqref="A12"/>
    </sheetView>
  </sheetViews>
  <sheetFormatPr defaultColWidth="9.140625" defaultRowHeight="9.9499999999999993" customHeight="1" x14ac:dyDescent="0.2"/>
  <cols>
    <col min="1" max="1" width="130.5703125" style="377" customWidth="1"/>
    <col min="2" max="16384" width="9.140625" style="311"/>
  </cols>
  <sheetData>
    <row r="1" spans="1:1" ht="36" x14ac:dyDescent="0.2">
      <c r="A1" s="380" t="s">
        <v>322</v>
      </c>
    </row>
    <row r="2" spans="1:1" ht="24" x14ac:dyDescent="0.2">
      <c r="A2" s="381" t="s">
        <v>321</v>
      </c>
    </row>
    <row r="3" spans="1:1" ht="9.9499999999999993" customHeight="1" x14ac:dyDescent="0.2">
      <c r="A3" s="298"/>
    </row>
    <row r="4" spans="1:1" ht="24" customHeight="1" x14ac:dyDescent="0.2">
      <c r="A4" s="381" t="s">
        <v>320</v>
      </c>
    </row>
    <row r="5" spans="1:1" ht="9.9499999999999993" customHeight="1" x14ac:dyDescent="0.2">
      <c r="A5" s="298"/>
    </row>
    <row r="6" spans="1:1" ht="12" x14ac:dyDescent="0.2">
      <c r="A6" s="380" t="s">
        <v>319</v>
      </c>
    </row>
    <row r="7" spans="1:1" ht="9.9499999999999993" customHeight="1" x14ac:dyDescent="0.2">
      <c r="A7" s="380"/>
    </row>
    <row r="8" spans="1:1" ht="36" x14ac:dyDescent="0.2">
      <c r="A8" s="380" t="s">
        <v>318</v>
      </c>
    </row>
    <row r="9" spans="1:1" ht="9.9499999999999993" customHeight="1" x14ac:dyDescent="0.2">
      <c r="A9" s="381"/>
    </row>
    <row r="10" spans="1:1" ht="36" customHeight="1" x14ac:dyDescent="0.2">
      <c r="A10" s="380" t="s">
        <v>317</v>
      </c>
    </row>
    <row r="11" spans="1:1" ht="9.6" customHeight="1" x14ac:dyDescent="0.2">
      <c r="A11" s="380"/>
    </row>
    <row r="12" spans="1:1" ht="36" customHeight="1" x14ac:dyDescent="0.2">
      <c r="A12" s="380" t="s">
        <v>348</v>
      </c>
    </row>
    <row r="13" spans="1:1" ht="9.9499999999999993" customHeight="1" x14ac:dyDescent="0.2">
      <c r="A13" s="380"/>
    </row>
    <row r="14" spans="1:1" ht="38.25" customHeight="1" x14ac:dyDescent="0.2">
      <c r="A14" s="380" t="s">
        <v>316</v>
      </c>
    </row>
    <row r="15" spans="1:1" ht="9.9499999999999993" customHeight="1" x14ac:dyDescent="0.2">
      <c r="A15" s="380"/>
    </row>
    <row r="16" spans="1:1" ht="24" x14ac:dyDescent="0.2">
      <c r="A16" s="380" t="s">
        <v>315</v>
      </c>
    </row>
    <row r="17" spans="1:1" ht="9.9499999999999993" customHeight="1" x14ac:dyDescent="0.2">
      <c r="A17" s="380"/>
    </row>
    <row r="18" spans="1:1" ht="24" x14ac:dyDescent="0.2">
      <c r="A18" s="380" t="s">
        <v>314</v>
      </c>
    </row>
    <row r="19" spans="1:1" ht="9.9499999999999993" customHeight="1" x14ac:dyDescent="0.2">
      <c r="A19" s="380"/>
    </row>
    <row r="20" spans="1:1" ht="39.75" customHeight="1" x14ac:dyDescent="0.2">
      <c r="A20" s="380" t="s">
        <v>313</v>
      </c>
    </row>
    <row r="21" spans="1:1" ht="9.9499999999999993" customHeight="1" x14ac:dyDescent="0.2">
      <c r="A21" s="380"/>
    </row>
    <row r="22" spans="1:1" ht="24" x14ac:dyDescent="0.2">
      <c r="A22" s="380" t="s">
        <v>312</v>
      </c>
    </row>
    <row r="23" spans="1:1" ht="9.9499999999999993" customHeight="1" x14ac:dyDescent="0.2">
      <c r="A23" s="380"/>
    </row>
    <row r="24" spans="1:1" ht="36" x14ac:dyDescent="0.2">
      <c r="A24" s="380" t="s">
        <v>311</v>
      </c>
    </row>
    <row r="25" spans="1:1" ht="9.9499999999999993" customHeight="1" x14ac:dyDescent="0.2">
      <c r="A25" s="380"/>
    </row>
    <row r="26" spans="1:1" ht="24" x14ac:dyDescent="0.2">
      <c r="A26" s="380" t="s">
        <v>310</v>
      </c>
    </row>
    <row r="27" spans="1:1" ht="9.9499999999999993" customHeight="1" x14ac:dyDescent="0.2">
      <c r="A27" s="380"/>
    </row>
    <row r="28" spans="1:1" ht="24" x14ac:dyDescent="0.2">
      <c r="A28" s="378" t="s">
        <v>309</v>
      </c>
    </row>
    <row r="29" spans="1:1" ht="12" x14ac:dyDescent="0.2">
      <c r="A29" s="380"/>
    </row>
    <row r="30" spans="1:1" ht="45" customHeight="1" x14ac:dyDescent="0.2">
      <c r="A30" s="380" t="s">
        <v>308</v>
      </c>
    </row>
    <row r="32" spans="1:1" ht="36" customHeight="1" x14ac:dyDescent="0.2">
      <c r="A32" s="380" t="s">
        <v>307</v>
      </c>
    </row>
    <row r="33" spans="1:1" ht="9.9499999999999993" customHeight="1" x14ac:dyDescent="0.2">
      <c r="A33" s="379"/>
    </row>
    <row r="34" spans="1:1" ht="12" x14ac:dyDescent="0.2">
      <c r="A34" s="378" t="s">
        <v>306</v>
      </c>
    </row>
    <row r="36" spans="1:1" ht="12" x14ac:dyDescent="0.2">
      <c r="A36" s="378" t="s">
        <v>305</v>
      </c>
    </row>
  </sheetData>
  <sheetProtection algorithmName="SHA-512" hashValue="sw0gObdE36b6XGnCdbYwMZs4Su3J2jA6HrrOBqogBlstBCDwjV0vGamzVAOELVdHTOfvhpszozV1WUb108PetQ==" saltValue="afL40i11CNkivVBCsQjmIA=="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IV95"/>
  <sheetViews>
    <sheetView showGridLines="0" topLeftCell="A8" zoomScale="80" zoomScaleNormal="80" workbookViewId="0">
      <selection activeCell="G40" sqref="G40"/>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272</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76">
        <f ca="1">TODAY()</f>
        <v>45532</v>
      </c>
      <c r="B6" s="210" t="s">
        <v>271</v>
      </c>
      <c r="C6" s="274"/>
      <c r="D6" s="274"/>
      <c r="E6" s="274"/>
      <c r="F6" s="274"/>
      <c r="G6" s="274"/>
      <c r="H6" s="274"/>
      <c r="I6" s="274"/>
      <c r="J6" s="274"/>
      <c r="K6" s="274"/>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ROUND(C14*C20,1)</f>
        <v>0</v>
      </c>
      <c r="E14" s="29" t="s">
        <v>45</v>
      </c>
      <c r="F14" s="30"/>
      <c r="G14" s="29" t="s">
        <v>15</v>
      </c>
      <c r="I14" s="53" t="s">
        <v>15</v>
      </c>
      <c r="J14" s="29"/>
      <c r="K14" s="29"/>
      <c r="L14" s="29"/>
      <c r="M14" s="29"/>
      <c r="N14" s="29"/>
    </row>
    <row r="15" spans="1:256" x14ac:dyDescent="0.2">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
      <c r="A17" s="31" t="s">
        <v>293</v>
      </c>
      <c r="B17" s="31"/>
      <c r="C17" s="32">
        <f>'Customer Info'!$B$28</f>
        <v>0</v>
      </c>
      <c r="D17" s="32">
        <f>$C$17</f>
        <v>0</v>
      </c>
      <c r="E17" s="31" t="s">
        <v>296</v>
      </c>
      <c r="F17" s="33"/>
      <c r="G17" s="31"/>
      <c r="H17" s="31"/>
      <c r="I17" s="31"/>
      <c r="J17" s="31"/>
      <c r="K17" s="31"/>
      <c r="L17" s="31"/>
      <c r="M17" s="31"/>
      <c r="N17" s="31"/>
      <c r="O17" s="31"/>
    </row>
    <row r="18" spans="1:30" x14ac:dyDescent="0.2">
      <c r="A18" s="31" t="s">
        <v>294</v>
      </c>
      <c r="B18" s="31"/>
      <c r="C18" s="374">
        <f>IF('Customer Info'!$B$19=0,0,ROUND(MAX(ROUND('Customer Info'!$B$19*'GS PRI'!C20,1),ROUND('Customer Info'!$B$20*'GS PRI'!C20,1))/'Customer Info'!$D$30,1))</f>
        <v>0</v>
      </c>
      <c r="D18" s="285">
        <f>$C$18</f>
        <v>0</v>
      </c>
      <c r="E18" s="31" t="s">
        <v>297</v>
      </c>
      <c r="F18" s="33"/>
      <c r="G18" s="31"/>
      <c r="H18" s="31"/>
      <c r="I18" s="31"/>
      <c r="J18" s="31"/>
      <c r="K18" s="31"/>
      <c r="L18" s="31"/>
      <c r="M18" s="31"/>
      <c r="N18" s="31"/>
      <c r="O18" s="31"/>
    </row>
    <row r="19" spans="1:30" x14ac:dyDescent="0.2">
      <c r="A19" s="31" t="s">
        <v>295</v>
      </c>
      <c r="B19" s="31"/>
      <c r="C19" s="32"/>
      <c r="D19" s="374">
        <f>MAX(100,ROUND(1.15*(MAX('Customer Info'!$B$19*'GS PRI'!C20,'Customer Info'!$B$20*'GS PRI'!C20)),1))</f>
        <v>100</v>
      </c>
      <c r="E19" s="31" t="s">
        <v>297</v>
      </c>
      <c r="F19" s="33"/>
      <c r="K19" s="31"/>
      <c r="L19" s="31"/>
      <c r="M19" s="31"/>
      <c r="N19" s="31"/>
    </row>
    <row r="20" spans="1:30" x14ac:dyDescent="0.2">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68" t="s">
        <v>15</v>
      </c>
      <c r="E21" s="568"/>
      <c r="F21" s="568"/>
      <c r="G21" s="568"/>
      <c r="H21" s="568"/>
      <c r="K21" s="31"/>
      <c r="L21" s="31"/>
      <c r="M21" s="31"/>
      <c r="N21" s="31"/>
      <c r="O21" s="50"/>
    </row>
    <row r="22" spans="1:30" x14ac:dyDescent="0.2">
      <c r="A22" s="31" t="s">
        <v>15</v>
      </c>
      <c r="B22" s="31"/>
      <c r="C22" s="82" t="s">
        <v>15</v>
      </c>
      <c r="D22" s="568" t="s">
        <v>15</v>
      </c>
      <c r="E22" s="568"/>
      <c r="F22" s="568"/>
      <c r="G22" s="568"/>
      <c r="H22" s="56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560" t="s">
        <v>67</v>
      </c>
      <c r="H24" s="561"/>
      <c r="I24" s="561"/>
      <c r="J24" s="562"/>
      <c r="K24" s="22"/>
      <c r="L24" s="563" t="s">
        <v>68</v>
      </c>
      <c r="M24" s="563"/>
      <c r="N24" s="563"/>
      <c r="O24" s="563"/>
    </row>
    <row r="25" spans="1:30" x14ac:dyDescent="0.2">
      <c r="A25" s="18"/>
      <c r="B25" s="18"/>
      <c r="C25" s="18"/>
      <c r="D25" s="18"/>
      <c r="E25" s="18"/>
      <c r="F25" s="18"/>
      <c r="G25" s="8" t="s">
        <v>64</v>
      </c>
      <c r="H25" s="8" t="s">
        <v>65</v>
      </c>
      <c r="I25" s="8" t="s">
        <v>66</v>
      </c>
      <c r="J25" s="112" t="s">
        <v>34</v>
      </c>
      <c r="K25" s="18"/>
      <c r="L25" s="131" t="s">
        <v>64</v>
      </c>
      <c r="M25" s="131" t="s">
        <v>65</v>
      </c>
      <c r="N25" s="131" t="s">
        <v>66</v>
      </c>
      <c r="O25" s="132" t="s">
        <v>34</v>
      </c>
      <c r="P25" s="43" t="s">
        <v>56</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292">
        <f>ROUND(MAX(D14,D15,('Customer Info'!B15-100)*0.6,('Customer Info'!B17-100)*0.6),1)</f>
        <v>0</v>
      </c>
      <c r="E28" s="29" t="s">
        <v>45</v>
      </c>
      <c r="F28" s="4" t="s">
        <v>8</v>
      </c>
      <c r="G28" s="85"/>
      <c r="H28" s="85"/>
      <c r="I28" s="85">
        <v>6.17</v>
      </c>
      <c r="J28" s="85">
        <f>SUM(G28:I28)</f>
        <v>6.17</v>
      </c>
      <c r="K28" s="36" t="s">
        <v>44</v>
      </c>
      <c r="L28" s="87"/>
      <c r="M28" s="87"/>
      <c r="N28" s="87">
        <f>ROUND($D28*I28,2)</f>
        <v>0</v>
      </c>
      <c r="O28" s="209">
        <f>SUM(L28:N28)</f>
        <v>0</v>
      </c>
      <c r="P28" s="245">
        <v>45261</v>
      </c>
    </row>
    <row r="29" spans="1:30" x14ac:dyDescent="0.2">
      <c r="A29" t="s">
        <v>270</v>
      </c>
      <c r="D29" s="49">
        <f>IF(D18&lt;=100,0,ROUND(IF(D18-D19&gt;0,D18-D19),1))</f>
        <v>0</v>
      </c>
      <c r="E29" s="29" t="s">
        <v>268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69</v>
      </c>
      <c r="D32" s="1"/>
      <c r="E32" s="1"/>
      <c r="K32" s="36"/>
      <c r="L32" s="36"/>
      <c r="M32" s="36"/>
      <c r="N32" s="36"/>
      <c r="O32" s="34"/>
      <c r="P32" s="34"/>
    </row>
    <row r="33" spans="1:220" x14ac:dyDescent="0.2">
      <c r="A33" s="37"/>
      <c r="D33" s="1"/>
      <c r="E33" s="1"/>
      <c r="K33" s="36"/>
      <c r="L33" s="36"/>
      <c r="M33" s="36"/>
      <c r="N33" s="36"/>
      <c r="O33" s="34"/>
    </row>
    <row r="34" spans="1:220" x14ac:dyDescent="0.2">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0" x14ac:dyDescent="0.2">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0" x14ac:dyDescent="0.2">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245</v>
      </c>
      <c r="B39" s="78"/>
      <c r="C39" s="78"/>
      <c r="D39" s="208">
        <f>$N$30</f>
        <v>138.5</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194</v>
      </c>
      <c r="B40" s="78"/>
      <c r="C40" s="78"/>
      <c r="D40" s="100">
        <f>'Customer Info'!$B$22+'Customer Info'!$B$23-'Customer Info'!$B$24</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
      <c r="A41" s="241" t="s">
        <v>161</v>
      </c>
      <c r="B41" s="78"/>
      <c r="C41" s="78"/>
      <c r="D41" s="100">
        <f>'Customer Info'!$B$22+'Customer Info'!$B$23-'Customer Info'!$B$24</f>
        <v>0</v>
      </c>
      <c r="E41" s="101" t="s">
        <v>41</v>
      </c>
      <c r="F41" s="102" t="s">
        <v>8</v>
      </c>
      <c r="G41" s="103">
        <f>'Rider Rates'!$B$42</f>
        <v>2.14E-3</v>
      </c>
      <c r="H41" s="103"/>
      <c r="I41" s="103"/>
      <c r="J41" s="237">
        <f>SUM(G41:H41)</f>
        <v>2.14E-3</v>
      </c>
      <c r="K41" s="104" t="s">
        <v>42</v>
      </c>
      <c r="L41" s="105">
        <f>ROUND(D41*G41,2)</f>
        <v>0</v>
      </c>
      <c r="M41" s="105"/>
      <c r="N41" s="105"/>
      <c r="O41" s="105">
        <f t="shared" si="0"/>
        <v>0</v>
      </c>
      <c r="P41" s="245">
        <f>'Rider Rates'!$D$42</f>
        <v>45444</v>
      </c>
    </row>
    <row r="42" spans="1:220" x14ac:dyDescent="0.2">
      <c r="A42" s="210" t="s">
        <v>201</v>
      </c>
      <c r="B42" s="78"/>
      <c r="C42" s="78"/>
      <c r="D42" s="100">
        <f>'Customer Info'!$B$22+'Customer Info'!$B$23-'Customer Info'!$B$24</f>
        <v>0</v>
      </c>
      <c r="E42" s="101" t="s">
        <v>41</v>
      </c>
      <c r="F42" s="102" t="s">
        <v>8</v>
      </c>
      <c r="G42" s="103">
        <f>'Rider Rates'!$B$49</f>
        <v>-3.1569999999999998E-4</v>
      </c>
      <c r="H42" s="103"/>
      <c r="I42" s="103"/>
      <c r="J42" s="237">
        <f>SUM(G42:H42)</f>
        <v>-3.1569999999999998E-4</v>
      </c>
      <c r="K42" s="104" t="s">
        <v>42</v>
      </c>
      <c r="L42" s="105">
        <f>ROUND(D42*G42,2)</f>
        <v>0</v>
      </c>
      <c r="M42" s="105"/>
      <c r="N42" s="105"/>
      <c r="O42" s="105">
        <f t="shared" si="0"/>
        <v>0</v>
      </c>
      <c r="P42" s="245">
        <f>'Rider Rates'!$D$49</f>
        <v>45471</v>
      </c>
    </row>
    <row r="43" spans="1:220" x14ac:dyDescent="0.2">
      <c r="A43" s="241" t="s">
        <v>218</v>
      </c>
      <c r="B43" s="78"/>
      <c r="C43" s="78"/>
      <c r="D43" s="1">
        <f>IF($C$16&lt;0,0,IF($C$16&gt;833000,833000,$C$16))</f>
        <v>0</v>
      </c>
      <c r="E43" s="101" t="s">
        <v>41</v>
      </c>
      <c r="F43" s="102" t="s">
        <v>8</v>
      </c>
      <c r="G43" s="103"/>
      <c r="H43" s="103"/>
      <c r="I43" s="103">
        <f>'Rider Rates'!D53</f>
        <v>1.8006999999999999E-3</v>
      </c>
      <c r="J43" s="103">
        <f>SUM(G43:I43)</f>
        <v>1.8006999999999999E-3</v>
      </c>
      <c r="K43" s="104" t="s">
        <v>42</v>
      </c>
      <c r="L43" s="105"/>
      <c r="M43" s="105"/>
      <c r="N43" s="87">
        <f>D43*J43</f>
        <v>0</v>
      </c>
      <c r="O43" s="105">
        <f t="shared" si="0"/>
        <v>0</v>
      </c>
      <c r="P43" s="245">
        <f>'Rider Rates'!E53</f>
        <v>45474</v>
      </c>
    </row>
    <row r="44" spans="1:220" x14ac:dyDescent="0.2">
      <c r="A44" s="210" t="s">
        <v>197</v>
      </c>
      <c r="B44" s="78"/>
      <c r="C44" s="78"/>
      <c r="D44" s="1">
        <f>IF($C$16&lt;0,0,$C$16)</f>
        <v>0</v>
      </c>
      <c r="E44" s="113" t="s">
        <v>41</v>
      </c>
      <c r="F44" s="102" t="s">
        <v>8</v>
      </c>
      <c r="G44" s="103"/>
      <c r="H44" s="103">
        <f>'Rider Rates'!B62</f>
        <v>5.8060000000000002E-4</v>
      </c>
      <c r="I44" s="103"/>
      <c r="J44" s="103">
        <f>SUM(G44:I44)</f>
        <v>5.8060000000000002E-4</v>
      </c>
      <c r="K44" s="104" t="s">
        <v>42</v>
      </c>
      <c r="L44" s="105"/>
      <c r="M44" s="105">
        <f>ROUND(D44*H44,2)</f>
        <v>0</v>
      </c>
      <c r="N44" s="205"/>
      <c r="O44" s="105">
        <f t="shared" si="0"/>
        <v>0</v>
      </c>
      <c r="P44" s="245">
        <f>'Rider Rates'!$D$61</f>
        <v>45383</v>
      </c>
    </row>
    <row r="45" spans="1:220" x14ac:dyDescent="0.2">
      <c r="A45" s="210" t="s">
        <v>197</v>
      </c>
      <c r="B45" s="78"/>
      <c r="C45" s="78"/>
      <c r="D45" s="49">
        <f>D14</f>
        <v>0</v>
      </c>
      <c r="E45" s="35" t="s">
        <v>63</v>
      </c>
      <c r="F45" s="4" t="s">
        <v>8</v>
      </c>
      <c r="G45" s="103"/>
      <c r="H45" s="239">
        <f>'Rider Rates'!B67</f>
        <v>6.76</v>
      </c>
      <c r="I45" s="103"/>
      <c r="J45" s="239">
        <f>SUM(G45:I45)</f>
        <v>6.76</v>
      </c>
      <c r="K45" s="104" t="s">
        <v>44</v>
      </c>
      <c r="L45" s="105"/>
      <c r="M45" s="105">
        <f>ROUND(D45*H45,2)</f>
        <v>0</v>
      </c>
      <c r="N45" s="205"/>
      <c r="O45" s="105">
        <f t="shared" si="0"/>
        <v>0</v>
      </c>
      <c r="P45" s="245">
        <f>'Rider Rates'!$D$66</f>
        <v>45383</v>
      </c>
    </row>
    <row r="46" spans="1:220" x14ac:dyDescent="0.2">
      <c r="A46" s="99" t="s">
        <v>82</v>
      </c>
      <c r="B46" s="78"/>
      <c r="C46" s="78"/>
      <c r="D46" s="1">
        <f>IF('Customer Info'!C35=TRUE,0,IF($C$16&lt;0,0,$C$16))</f>
        <v>0</v>
      </c>
      <c r="E46" s="101" t="s">
        <v>41</v>
      </c>
      <c r="F46" s="102" t="s">
        <v>8</v>
      </c>
      <c r="G46" s="103"/>
      <c r="H46" s="103"/>
      <c r="I46" s="103">
        <f>'Rider Rates'!$B$75+'Rider Rates'!$C$75</f>
        <v>0</v>
      </c>
      <c r="J46" s="103">
        <f>SUM(G46:I46)</f>
        <v>0</v>
      </c>
      <c r="K46" s="104" t="s">
        <v>42</v>
      </c>
      <c r="L46" s="105"/>
      <c r="M46" s="105"/>
      <c r="N46" s="87">
        <f>ROUND($D$46*'Rider Rates'!$B$75,2)+ROUND($D$46*'Rider Rates'!$C$75,2)</f>
        <v>0</v>
      </c>
      <c r="O46" s="209">
        <f t="shared" ref="O46:O53" si="1">SUM(L46:N46)</f>
        <v>0</v>
      </c>
      <c r="P46" s="245">
        <f>'Rider Rates'!$D$75</f>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82</v>
      </c>
      <c r="B47" s="78"/>
      <c r="C47" s="78"/>
      <c r="D47" s="49">
        <f>IF('Customer Info'!C35=TRUE,0,$D$28)</f>
        <v>0</v>
      </c>
      <c r="E47" s="101" t="s">
        <v>45</v>
      </c>
      <c r="F47" s="102" t="s">
        <v>8</v>
      </c>
      <c r="G47" s="103"/>
      <c r="H47" s="103"/>
      <c r="I47" s="239">
        <f>'Rider Rates'!$B$85</f>
        <v>0</v>
      </c>
      <c r="J47" s="239">
        <f>SUM(G47:I47)</f>
        <v>0</v>
      </c>
      <c r="K47" s="104" t="s">
        <v>42</v>
      </c>
      <c r="L47" s="105"/>
      <c r="M47" s="105"/>
      <c r="N47" s="87">
        <f>ROUND($D47*I47,2)</f>
        <v>0</v>
      </c>
      <c r="O47" s="209">
        <f>SUM(L47:N47)</f>
        <v>0</v>
      </c>
      <c r="P47" s="245">
        <f>'Rider Rates'!$D$85</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80</v>
      </c>
      <c r="B48" s="78"/>
      <c r="C48" s="78"/>
      <c r="D48" s="208">
        <f>$N$30</f>
        <v>138.5</v>
      </c>
      <c r="E48" s="101" t="s">
        <v>121</v>
      </c>
      <c r="F48" s="102" t="s">
        <v>8</v>
      </c>
      <c r="G48" s="111"/>
      <c r="H48" s="112"/>
      <c r="I48" s="120">
        <f>'Rider Rates'!$B$89</f>
        <v>2.9347000000000002E-2</v>
      </c>
      <c r="J48" s="120">
        <f>SUM(H48:I48)</f>
        <v>2.9347000000000002E-2</v>
      </c>
      <c r="K48" s="104"/>
      <c r="L48" s="105"/>
      <c r="M48" s="105"/>
      <c r="N48" s="105">
        <f>ROUND(N$30*I48,2)</f>
        <v>4.0599999999999996</v>
      </c>
      <c r="O48" s="209">
        <f t="shared" si="1"/>
        <v>4.0599999999999996</v>
      </c>
      <c r="P48" s="245">
        <f>'Rider Rates'!$D$89</f>
        <v>45383</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81</v>
      </c>
      <c r="B49" s="78"/>
      <c r="C49" s="78"/>
      <c r="D49" s="208">
        <f>$N$30</f>
        <v>138.5</v>
      </c>
      <c r="E49" s="101" t="s">
        <v>121</v>
      </c>
      <c r="F49" s="102" t="s">
        <v>8</v>
      </c>
      <c r="G49" s="114"/>
      <c r="H49" s="115"/>
      <c r="I49" s="120">
        <f>'Rider Rates'!$B$91</f>
        <v>6.6985699999999995E-2</v>
      </c>
      <c r="J49" s="120">
        <f>SUM(H49:I49)</f>
        <v>6.6985699999999995E-2</v>
      </c>
      <c r="K49" s="104"/>
      <c r="L49" s="105"/>
      <c r="M49" s="105"/>
      <c r="N49" s="105">
        <f>ROUND(N$30*I49,2)</f>
        <v>9.2799999999999994</v>
      </c>
      <c r="O49" s="209">
        <f t="shared" si="1"/>
        <v>9.2799999999999994</v>
      </c>
      <c r="P49" s="245">
        <f>'Rider Rates'!$D$91</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214</v>
      </c>
      <c r="B50" s="78"/>
      <c r="C50" s="78"/>
      <c r="D50" s="195"/>
      <c r="E50" s="113" t="s">
        <v>114</v>
      </c>
      <c r="F50" s="106"/>
      <c r="G50" s="114"/>
      <c r="H50" s="115"/>
      <c r="I50" s="196">
        <f>'Rider Rates'!$B$95</f>
        <v>11.97</v>
      </c>
      <c r="J50" s="196">
        <f>SUM(G50:I50)</f>
        <v>11.97</v>
      </c>
      <c r="K50" s="104"/>
      <c r="L50" s="105"/>
      <c r="M50" s="105"/>
      <c r="N50" s="105">
        <f>I50</f>
        <v>11.97</v>
      </c>
      <c r="O50" s="105">
        <f>SUM(L50:N50)</f>
        <v>11.97</v>
      </c>
      <c r="P50" s="245">
        <f>'Rider Rates'!$D$95</f>
        <v>45442</v>
      </c>
    </row>
    <row r="51" spans="1:221" x14ac:dyDescent="0.2">
      <c r="A51" s="241" t="s">
        <v>261</v>
      </c>
      <c r="B51" s="78"/>
      <c r="C51" s="78"/>
      <c r="D51" s="1">
        <f>$D$34</f>
        <v>0</v>
      </c>
      <c r="E51" s="101" t="s">
        <v>41</v>
      </c>
      <c r="F51" s="102" t="s">
        <v>8</v>
      </c>
      <c r="G51" s="103"/>
      <c r="H51" s="103"/>
      <c r="I51" s="103"/>
      <c r="J51" s="103">
        <f>'Rider Rates'!$B$100</f>
        <v>0</v>
      </c>
      <c r="K51" s="104" t="s">
        <v>42</v>
      </c>
      <c r="L51" s="105"/>
      <c r="M51" s="105"/>
      <c r="N51" s="87"/>
      <c r="O51" s="105">
        <f>ROUND($D51*('Rider Rates'!B$100),2)</f>
        <v>0</v>
      </c>
      <c r="P51" s="245">
        <f>'Rider Rates'!$D$100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262</v>
      </c>
      <c r="B52" s="78"/>
      <c r="C52" s="78"/>
      <c r="D52" s="1">
        <f>$D$35</f>
        <v>0</v>
      </c>
      <c r="E52" s="101" t="s">
        <v>41</v>
      </c>
      <c r="F52" s="102" t="s">
        <v>8</v>
      </c>
      <c r="G52" s="103"/>
      <c r="H52" s="103"/>
      <c r="I52" s="103"/>
      <c r="J52" s="103">
        <f>'Rider Rates'!$B$101</f>
        <v>0</v>
      </c>
      <c r="K52" s="104" t="s">
        <v>42</v>
      </c>
      <c r="L52" s="105"/>
      <c r="M52" s="105"/>
      <c r="N52" s="87"/>
      <c r="O52" s="105">
        <f>ROUND($D52*('Rider Rates'!B$101),2)</f>
        <v>0</v>
      </c>
      <c r="P52" s="245">
        <f>'Rider Rates'!$D$101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121</v>
      </c>
      <c r="F53" s="102" t="s">
        <v>8</v>
      </c>
      <c r="G53" s="114"/>
      <c r="H53" s="115"/>
      <c r="I53" s="120">
        <f>'Rider Rates'!$B$109</f>
        <v>0.211176</v>
      </c>
      <c r="J53" s="120">
        <f>SUM(H53:I53)</f>
        <v>0.211176</v>
      </c>
      <c r="K53" s="104"/>
      <c r="L53" s="105"/>
      <c r="M53" s="105"/>
      <c r="N53" s="105">
        <f>ROUND(N$30*I53,2)</f>
        <v>29.25</v>
      </c>
      <c r="O53" s="105">
        <f t="shared" si="1"/>
        <v>29.25</v>
      </c>
      <c r="P53" s="245">
        <f>'Rider Rates'!$D$109</f>
        <v>45532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114</v>
      </c>
      <c r="F54" s="106"/>
      <c r="G54" s="114"/>
      <c r="H54" s="115"/>
      <c r="I54" s="196">
        <f>'Rider Rates'!$B$113</f>
        <v>0</v>
      </c>
      <c r="J54" s="196">
        <f>SUM(G54:I54)</f>
        <v>0</v>
      </c>
      <c r="K54" s="104"/>
      <c r="L54" s="105"/>
      <c r="M54" s="105"/>
      <c r="N54" s="105">
        <f>I54</f>
        <v>0</v>
      </c>
      <c r="O54" s="105">
        <f t="shared" ref="O54:O59" si="2">SUM(L54:N54)</f>
        <v>0</v>
      </c>
      <c r="P54" s="245">
        <f>'Rider Rates'!$D$113</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225</v>
      </c>
      <c r="B55" s="78"/>
      <c r="C55" s="78"/>
      <c r="D55" s="195"/>
      <c r="E55" s="113" t="s">
        <v>114</v>
      </c>
      <c r="F55" s="106"/>
      <c r="G55" s="114"/>
      <c r="H55" s="115"/>
      <c r="I55" s="258">
        <f>'Rider Rates'!B126</f>
        <v>5.83</v>
      </c>
      <c r="J55" s="196">
        <f>SUM(G55:I55)</f>
        <v>5.83</v>
      </c>
      <c r="K55" s="104"/>
      <c r="L55" s="105"/>
      <c r="M55" s="105"/>
      <c r="N55" s="260">
        <f>I55</f>
        <v>5.83</v>
      </c>
      <c r="O55" s="105">
        <f t="shared" si="2"/>
        <v>5.83</v>
      </c>
      <c r="P55" s="245">
        <f>'Rider Rates'!D126</f>
        <v>45226</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99" t="s">
        <v>157</v>
      </c>
      <c r="B56" s="78"/>
      <c r="C56" s="78"/>
      <c r="D56" s="100">
        <f>IF('Customer Info'!$C$33=TRUE,0,'Customer Info'!$B$22+'Customer Info'!$B$23-'Customer Info'!$B$24)</f>
        <v>0</v>
      </c>
      <c r="E56" s="101" t="s">
        <v>41</v>
      </c>
      <c r="F56" s="102" t="s">
        <v>8</v>
      </c>
      <c r="G56" s="103">
        <f>'Rider Rates'!$B$117</f>
        <v>3.7618E-3</v>
      </c>
      <c r="H56" s="103"/>
      <c r="I56" s="120"/>
      <c r="J56" s="237">
        <f>SUM(G56:H56)</f>
        <v>3.7618E-3</v>
      </c>
      <c r="K56" s="104" t="s">
        <v>42</v>
      </c>
      <c r="L56" s="105">
        <f>ROUND(D56*G56,2)</f>
        <v>0</v>
      </c>
      <c r="M56" s="105"/>
      <c r="N56" s="105"/>
      <c r="O56" s="105">
        <f t="shared" si="2"/>
        <v>0</v>
      </c>
      <c r="P56" s="245">
        <f>'Rider Rates'!$D$117</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10" t="s">
        <v>216</v>
      </c>
      <c r="B57" s="78"/>
      <c r="C57" s="78"/>
      <c r="D57" s="1">
        <f>IF($C$16&lt;1,0,$C$16)</f>
        <v>0</v>
      </c>
      <c r="E57" s="101" t="s">
        <v>41</v>
      </c>
      <c r="F57" s="249" t="s">
        <v>8</v>
      </c>
      <c r="G57" s="165"/>
      <c r="H57" s="165"/>
      <c r="I57" s="251">
        <f>'Rider Rates'!B122</f>
        <v>-6.2E-4</v>
      </c>
      <c r="J57" s="251">
        <f>SUM(G57:I57)</f>
        <v>-6.2E-4</v>
      </c>
      <c r="K57" s="104" t="s">
        <v>42</v>
      </c>
      <c r="L57" s="105"/>
      <c r="M57" s="105"/>
      <c r="N57" s="105">
        <f>D57*I57</f>
        <v>0</v>
      </c>
      <c r="O57" s="105">
        <f t="shared" si="2"/>
        <v>0</v>
      </c>
      <c r="P57" s="245">
        <f>'Rider Rates'!D122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241</v>
      </c>
      <c r="B58" s="78"/>
      <c r="C58" s="78"/>
      <c r="D58" s="100">
        <f>IF(C16&lt;0,0,IF(C16&gt;833000,833000,C16))</f>
        <v>0</v>
      </c>
      <c r="E58" s="101" t="s">
        <v>41</v>
      </c>
      <c r="F58" s="102" t="s">
        <v>8</v>
      </c>
      <c r="G58" s="265"/>
      <c r="H58" s="265"/>
      <c r="I58" s="265">
        <f>'Rider Rates'!$B$130</f>
        <v>2.9050000000000001E-4</v>
      </c>
      <c r="J58" s="265">
        <f>SUM(G58:I58)</f>
        <v>2.9050000000000001E-4</v>
      </c>
      <c r="K58" s="104" t="s">
        <v>42</v>
      </c>
      <c r="L58" s="266"/>
      <c r="M58" s="266"/>
      <c r="N58" s="266">
        <f>IF(D58*J58&gt;'Rider Rates'!$C$130,'Rider Rates'!$C$130,D58*J58)</f>
        <v>0</v>
      </c>
      <c r="O58" s="266">
        <f t="shared" si="2"/>
        <v>0</v>
      </c>
      <c r="P58" s="264">
        <f>'Rider Rates'!$E$130</f>
        <v>45292</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t="s">
        <v>242</v>
      </c>
      <c r="B59" s="78"/>
      <c r="C59" s="78"/>
      <c r="D59" s="123">
        <f>IF(C16&gt;833000,C16-833000,0)</f>
        <v>0</v>
      </c>
      <c r="E59" s="101" t="s">
        <v>41</v>
      </c>
      <c r="F59" s="102" t="s">
        <v>8</v>
      </c>
      <c r="G59" s="265"/>
      <c r="H59" s="265"/>
      <c r="I59" s="265">
        <f>'Rider Rates'!$B$131</f>
        <v>0</v>
      </c>
      <c r="J59" s="265">
        <f>SUM(G59:I59)</f>
        <v>0</v>
      </c>
      <c r="K59" s="104" t="s">
        <v>42</v>
      </c>
      <c r="L59" s="266"/>
      <c r="M59" s="266"/>
      <c r="N59" s="266">
        <f>D59*J59</f>
        <v>0</v>
      </c>
      <c r="O59" s="266">
        <f t="shared" si="2"/>
        <v>0</v>
      </c>
      <c r="P59" s="264">
        <f>'Rider Rates'!$E$131</f>
        <v>44927</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250</v>
      </c>
      <c r="B60" s="78"/>
      <c r="C60" s="78"/>
      <c r="D60" s="100">
        <f>D16</f>
        <v>0</v>
      </c>
      <c r="E60" s="101" t="s">
        <v>41</v>
      </c>
      <c r="F60" s="249" t="s">
        <v>8</v>
      </c>
      <c r="G60" s="103"/>
      <c r="H60" s="103"/>
      <c r="I60" s="103">
        <f>'Rider Rates'!$B$137</f>
        <v>0</v>
      </c>
      <c r="J60" s="237">
        <f>SUM(G60:I60)</f>
        <v>0</v>
      </c>
      <c r="K60" s="104" t="s">
        <v>42</v>
      </c>
      <c r="L60" s="105"/>
      <c r="M60" s="105"/>
      <c r="N60" s="105">
        <f>D60*J60</f>
        <v>0</v>
      </c>
      <c r="O60" s="105">
        <f>SUM(L60:N60)</f>
        <v>0</v>
      </c>
      <c r="P60" s="245">
        <f>'Rider Rates'!$D$135</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249</v>
      </c>
      <c r="B61" s="78"/>
      <c r="C61" s="78"/>
      <c r="D61" s="100"/>
      <c r="E61" s="101" t="s">
        <v>114</v>
      </c>
      <c r="F61" s="102" t="s">
        <v>8</v>
      </c>
      <c r="G61" s="263"/>
      <c r="H61" s="263"/>
      <c r="I61" s="263">
        <f>'Rider Rates'!$B$142</f>
        <v>0</v>
      </c>
      <c r="J61" s="263">
        <f>SUM(G61:I61)</f>
        <v>0</v>
      </c>
      <c r="K61" s="104"/>
      <c r="L61" s="209"/>
      <c r="M61" s="209"/>
      <c r="N61" s="209">
        <f>J61</f>
        <v>0</v>
      </c>
      <c r="O61" s="209">
        <f>SUM(L61:N61)</f>
        <v>0</v>
      </c>
      <c r="P61" s="264">
        <f>'Rider Rates'!$D$142</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241" t="s">
        <v>251</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79" t="s">
        <v>70</v>
      </c>
      <c r="B63" s="148"/>
      <c r="C63" s="148"/>
      <c r="D63" s="180"/>
      <c r="E63" s="181"/>
      <c r="F63" s="182"/>
      <c r="G63" s="182"/>
      <c r="H63" s="182"/>
      <c r="I63" s="182"/>
      <c r="J63" s="182"/>
      <c r="K63" s="183"/>
      <c r="L63" s="169">
        <f>SUM(L34:L62)</f>
        <v>0</v>
      </c>
      <c r="M63" s="169">
        <f>SUM(M34:M62)</f>
        <v>0</v>
      </c>
      <c r="N63" s="169">
        <f>SUM(N34:N62)</f>
        <v>60.39</v>
      </c>
      <c r="O63" s="169">
        <f>SUM(O34:O62)</f>
        <v>60.39</v>
      </c>
      <c r="P63" s="184"/>
    </row>
    <row r="64" spans="1:221" x14ac:dyDescent="0.2">
      <c r="A64" s="37"/>
      <c r="D64" s="1"/>
      <c r="E64" s="35"/>
      <c r="F64" s="4"/>
      <c r="G64" s="42"/>
      <c r="H64" s="42"/>
      <c r="I64" s="42"/>
      <c r="J64" s="42"/>
      <c r="K64" s="36"/>
      <c r="L64" s="36"/>
      <c r="M64" s="36"/>
      <c r="N64" s="36"/>
      <c r="O64" s="34"/>
      <c r="P64" s="36"/>
    </row>
    <row r="65" spans="1:16" x14ac:dyDescent="0.2">
      <c r="A65" s="81" t="s">
        <v>71</v>
      </c>
      <c r="B65" s="92"/>
      <c r="C65" s="92"/>
      <c r="D65" s="92"/>
      <c r="E65" s="92"/>
      <c r="F65" s="92"/>
      <c r="G65" s="92"/>
      <c r="H65" s="92"/>
      <c r="I65" s="92"/>
      <c r="J65" s="92"/>
      <c r="K65" s="92"/>
      <c r="L65" s="98">
        <f>L30+L63</f>
        <v>0</v>
      </c>
      <c r="M65" s="98">
        <f>M30+M63</f>
        <v>0</v>
      </c>
      <c r="N65" s="98">
        <f>N30+N63</f>
        <v>198.89</v>
      </c>
      <c r="O65" s="98">
        <f>O30+O63</f>
        <v>198.89</v>
      </c>
      <c r="P65" s="98"/>
    </row>
    <row r="66" spans="1:16" x14ac:dyDescent="0.2">
      <c r="A66" s="37"/>
      <c r="B66" s="37"/>
      <c r="C66" s="37"/>
      <c r="D66" s="37"/>
      <c r="E66" s="37"/>
      <c r="F66" s="37"/>
      <c r="G66" s="37"/>
      <c r="H66" s="37"/>
      <c r="I66" s="37"/>
      <c r="J66" s="37"/>
      <c r="K66" s="37"/>
      <c r="L66" s="37"/>
      <c r="M66" s="37"/>
      <c r="N66" s="37"/>
      <c r="O66" s="40"/>
      <c r="P66" s="40"/>
    </row>
    <row r="67" spans="1:16" x14ac:dyDescent="0.2">
      <c r="A67" s="37" t="s">
        <v>37</v>
      </c>
      <c r="B67" s="37"/>
      <c r="C67" s="37"/>
      <c r="D67" s="37"/>
      <c r="E67" s="37"/>
      <c r="F67" s="37"/>
      <c r="G67" s="37"/>
      <c r="H67" s="37"/>
      <c r="I67" s="37"/>
      <c r="J67" s="37"/>
      <c r="K67" s="37"/>
      <c r="L67" s="37"/>
      <c r="M67" s="37"/>
      <c r="N67" s="37"/>
      <c r="O67" s="45">
        <f>O26+O28+O63</f>
        <v>198.89</v>
      </c>
      <c r="P67" s="245">
        <v>40967</v>
      </c>
    </row>
    <row r="68" spans="1:16" x14ac:dyDescent="0.2">
      <c r="A68" s="37"/>
      <c r="B68" s="37"/>
      <c r="C68" s="37"/>
      <c r="D68" s="37"/>
      <c r="E68" s="37"/>
      <c r="F68" s="37"/>
      <c r="G68" s="46"/>
      <c r="H68" s="46"/>
      <c r="I68" s="46"/>
      <c r="J68" s="46"/>
      <c r="K68" s="36"/>
      <c r="L68" s="36"/>
      <c r="M68" s="36"/>
      <c r="N68" s="36"/>
      <c r="O68" s="40"/>
    </row>
    <row r="69" spans="1:16" x14ac:dyDescent="0.2">
      <c r="A69" s="41" t="s">
        <v>116</v>
      </c>
      <c r="B69" s="37"/>
      <c r="C69" s="37"/>
      <c r="D69" s="37"/>
      <c r="E69" s="37"/>
      <c r="F69" s="37"/>
      <c r="G69" s="46"/>
      <c r="H69" s="46"/>
      <c r="I69" s="46"/>
      <c r="J69" s="46"/>
      <c r="K69" s="36"/>
      <c r="L69" s="36"/>
      <c r="M69" s="36"/>
      <c r="N69" s="36"/>
      <c r="O69" s="138">
        <f>MAX($O$65,$O$67)</f>
        <v>198.89</v>
      </c>
    </row>
    <row r="70" spans="1:16" x14ac:dyDescent="0.2">
      <c r="A70" s="37"/>
      <c r="B70" s="37"/>
      <c r="C70" s="37"/>
      <c r="D70" s="37"/>
      <c r="E70" s="37"/>
      <c r="F70" s="37"/>
      <c r="G70" s="46"/>
      <c r="H70" s="46"/>
      <c r="I70" s="46"/>
      <c r="J70" s="46"/>
      <c r="K70" s="36"/>
      <c r="L70" s="36"/>
      <c r="M70" s="36"/>
      <c r="N70" s="36"/>
      <c r="O70" s="40"/>
    </row>
    <row r="71" spans="1:16" x14ac:dyDescent="0.2">
      <c r="A71" s="37"/>
      <c r="B71" s="37"/>
      <c r="C71" s="37"/>
      <c r="D71" s="37"/>
      <c r="E71" s="37"/>
      <c r="F71" s="37"/>
      <c r="G71" s="96" t="s">
        <v>85</v>
      </c>
      <c r="H71" s="46"/>
      <c r="I71" s="37"/>
      <c r="J71" s="46"/>
      <c r="K71" s="36"/>
      <c r="L71" s="191"/>
      <c r="M71" s="191"/>
      <c r="N71" s="191"/>
      <c r="O71" s="191">
        <f>ROUND(IF($C$16&lt;1,0,$O$69/($C$16*100)*10000),2)</f>
        <v>0</v>
      </c>
      <c r="P71" s="37" t="s">
        <v>86</v>
      </c>
    </row>
    <row r="72" spans="1:16" x14ac:dyDescent="0.2">
      <c r="A72" s="37"/>
      <c r="B72" s="37"/>
      <c r="C72" s="37"/>
      <c r="D72" s="37"/>
      <c r="E72" s="37"/>
      <c r="F72" s="37"/>
      <c r="G72" s="242" t="s">
        <v>198</v>
      </c>
      <c r="H72" s="136"/>
      <c r="I72" s="133"/>
      <c r="J72" s="136"/>
      <c r="K72" s="137"/>
      <c r="L72" s="78"/>
      <c r="M72" s="78"/>
      <c r="N72" s="78"/>
      <c r="O72" s="243">
        <f>ROUND(IF($C$16&lt;1,0,(L65)/($C$16*100)*10000),2)</f>
        <v>0</v>
      </c>
      <c r="P72" s="25" t="s">
        <v>86</v>
      </c>
    </row>
    <row r="73" spans="1:16" x14ac:dyDescent="0.2">
      <c r="A73" s="37"/>
      <c r="B73" s="37"/>
      <c r="C73" s="37"/>
      <c r="D73" s="37"/>
      <c r="E73" s="37"/>
      <c r="F73" s="37"/>
      <c r="G73" s="96"/>
      <c r="H73" s="46"/>
      <c r="I73" s="96"/>
      <c r="J73" s="46"/>
      <c r="K73" s="36"/>
      <c r="L73" s="36"/>
      <c r="M73" s="36"/>
      <c r="N73" s="36"/>
      <c r="O73" s="130"/>
      <c r="P73" s="37"/>
    </row>
    <row r="74" spans="1:16" ht="20.25" customHeight="1" x14ac:dyDescent="0.3">
      <c r="A74" s="3"/>
      <c r="B74" s="37"/>
      <c r="C74" s="37"/>
      <c r="D74" s="228" t="str">
        <f>IF('Customer Info'!$C$33=TRUE,"Notice: Billing Charge does not include Self Assessed KWH Tax"," ")</f>
        <v xml:space="preserve"> </v>
      </c>
      <c r="E74" s="3"/>
      <c r="F74" s="4"/>
      <c r="G74" s="121"/>
      <c r="H74" s="55"/>
      <c r="I74" s="34"/>
      <c r="J74" s="55"/>
      <c r="K74" s="37"/>
      <c r="L74" s="37"/>
      <c r="M74" s="37"/>
      <c r="N74" s="34"/>
    </row>
    <row r="75" spans="1:16" x14ac:dyDescent="0.2">
      <c r="A75" s="37"/>
      <c r="B75" s="37"/>
      <c r="C75" s="37"/>
      <c r="D75" s="54"/>
      <c r="E75" s="3"/>
      <c r="F75" s="4"/>
      <c r="G75" s="55"/>
      <c r="H75" s="55"/>
      <c r="I75" s="93"/>
      <c r="J75" s="55"/>
      <c r="K75" s="37"/>
      <c r="L75" s="37"/>
      <c r="M75" s="37"/>
      <c r="N75" s="37"/>
      <c r="O75" s="40"/>
    </row>
    <row r="76" spans="1:16" x14ac:dyDescent="0.2">
      <c r="A76" s="37"/>
      <c r="B76" s="37"/>
      <c r="C76" s="37"/>
      <c r="D76" s="54"/>
      <c r="E76" s="3"/>
      <c r="F76" s="4"/>
      <c r="G76" s="55"/>
      <c r="H76" s="55"/>
      <c r="I76" s="55"/>
      <c r="J76" s="55"/>
      <c r="K76" s="37"/>
      <c r="L76" s="37"/>
      <c r="M76" s="37"/>
      <c r="N76" s="37"/>
      <c r="O76" s="40"/>
    </row>
    <row r="77" spans="1:16" x14ac:dyDescent="0.2">
      <c r="A77" s="41"/>
      <c r="B77" s="37"/>
      <c r="C77" s="37"/>
      <c r="D77" s="37"/>
      <c r="E77" s="37"/>
      <c r="F77" s="37"/>
      <c r="G77" s="37"/>
      <c r="H77" s="37"/>
      <c r="J77" s="37"/>
      <c r="K77" s="37"/>
      <c r="L77" s="40"/>
      <c r="M77" s="40"/>
      <c r="N77" s="40"/>
      <c r="O77" s="138"/>
    </row>
    <row r="78" spans="1:16" x14ac:dyDescent="0.2">
      <c r="B78" s="37"/>
      <c r="C78" s="37"/>
      <c r="D78" s="37"/>
      <c r="E78" s="37"/>
      <c r="F78" s="37"/>
      <c r="G78" s="96"/>
      <c r="H78" s="37"/>
      <c r="I78" s="37"/>
      <c r="J78" s="37"/>
      <c r="K78" s="37"/>
      <c r="L78" s="60"/>
      <c r="M78" s="60"/>
      <c r="N78" s="60"/>
      <c r="O78" s="130"/>
      <c r="P78" s="37"/>
    </row>
    <row r="79" spans="1:16" x14ac:dyDescent="0.2">
      <c r="G79" s="133"/>
      <c r="H79" s="56"/>
      <c r="I79" s="133"/>
      <c r="J79" s="56"/>
      <c r="K79" s="56"/>
      <c r="L79" s="134"/>
      <c r="M79" s="134"/>
      <c r="N79" s="134"/>
      <c r="O79" s="135"/>
      <c r="P79" s="25"/>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row r="94" spans="1:1" x14ac:dyDescent="0.2">
      <c r="A94" s="547"/>
    </row>
    <row r="95" spans="1:1" x14ac:dyDescent="0.2">
      <c r="A95" s="547"/>
    </row>
  </sheetData>
  <sheetProtection algorithmName="SHA-512" hashValue="4zT8jA+aFoeLF7JgKjP4/ucyq71/NdEFJqzJKNeQZW0zm2OslI6OI/UBlhDW9ZahMMvyx9oki3RPI5c6Rl9PVw==" saltValue="IMAv5P2P6gbV0aDYC+UrJQ==" spinCount="100000" sheet="1" objects="1" scenarios="1"/>
  <mergeCells count="26">
    <mergeCell ref="A81:A95"/>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276225</xdr:colOff>
                    <xdr:row>89</xdr:row>
                    <xdr:rowOff>47625</xdr:rowOff>
                  </from>
                  <to>
                    <xdr:col>16</xdr:col>
                    <xdr:colOff>28575</xdr:colOff>
                    <xdr:row>90</xdr:row>
                    <xdr:rowOff>85725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IV94"/>
  <sheetViews>
    <sheetView showGridLines="0" topLeftCell="A19" zoomScale="80" zoomScaleNormal="80" workbookViewId="0">
      <selection activeCell="H73" sqref="H73"/>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273</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76">
        <f ca="1">TODAY()</f>
        <v>45532</v>
      </c>
      <c r="B6" s="210" t="s">
        <v>274</v>
      </c>
      <c r="C6" s="274"/>
      <c r="D6" s="274"/>
      <c r="E6" s="274"/>
      <c r="F6" s="274"/>
      <c r="G6" s="274"/>
      <c r="H6" s="274"/>
      <c r="I6" s="274"/>
      <c r="J6" s="274"/>
      <c r="K6" s="274"/>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ROUND(C14*C19,1)</f>
        <v>0</v>
      </c>
      <c r="E14" s="29" t="s">
        <v>45</v>
      </c>
      <c r="F14" s="30"/>
      <c r="G14" s="29" t="s">
        <v>15</v>
      </c>
      <c r="I14" s="53" t="s">
        <v>15</v>
      </c>
      <c r="J14" s="29"/>
      <c r="K14" s="29"/>
      <c r="L14" s="29"/>
      <c r="M14" s="29"/>
      <c r="N14" s="29"/>
    </row>
    <row r="15" spans="1:256" x14ac:dyDescent="0.2">
      <c r="A15" s="31" t="s">
        <v>29</v>
      </c>
      <c r="B15" s="31"/>
      <c r="C15" s="44">
        <f>'Customer Info'!B20</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C16*C19</f>
        <v>0</v>
      </c>
      <c r="E16" s="31" t="s">
        <v>41</v>
      </c>
      <c r="F16" s="33"/>
      <c r="G16" s="31"/>
      <c r="H16" s="31"/>
      <c r="I16" s="31"/>
      <c r="J16" s="31"/>
      <c r="K16" s="31"/>
      <c r="L16" s="31"/>
      <c r="M16" s="31"/>
      <c r="N16" s="31"/>
      <c r="O16" s="31"/>
    </row>
    <row r="17" spans="1:32" x14ac:dyDescent="0.2">
      <c r="A17" s="31" t="s">
        <v>129</v>
      </c>
      <c r="B17" s="31"/>
      <c r="C17" s="32">
        <f>'Customer Info'!$B$27</f>
        <v>0</v>
      </c>
      <c r="D17" s="32">
        <f>C17*C19</f>
        <v>0</v>
      </c>
      <c r="E17" s="31" t="s">
        <v>266</v>
      </c>
      <c r="F17" s="33"/>
      <c r="K17" s="31"/>
      <c r="L17" s="31"/>
      <c r="M17" s="31"/>
      <c r="N17" s="31"/>
    </row>
    <row r="18" spans="1:32" x14ac:dyDescent="0.2">
      <c r="A18" s="31" t="s">
        <v>265</v>
      </c>
      <c r="B18" s="31"/>
      <c r="C18" s="32"/>
      <c r="D18" s="32">
        <f>IF((D17-(ROUND(MAX(D14,D15)*0.5,1)))&lt;0,0,(D17-(ROUND(MAX(D14,D15)*0.5,1))))</f>
        <v>0</v>
      </c>
      <c r="E18" s="31" t="s">
        <v>269</v>
      </c>
      <c r="F18" s="33"/>
      <c r="K18" s="31"/>
      <c r="L18" s="31"/>
      <c r="M18" s="31"/>
      <c r="N18" s="31"/>
    </row>
    <row r="19" spans="1:32" x14ac:dyDescent="0.2">
      <c r="A19" s="31" t="s">
        <v>53</v>
      </c>
      <c r="B19" s="31"/>
      <c r="C19" s="58">
        <f>+'Customer Info'!E19</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2" x14ac:dyDescent="0.2">
      <c r="A20" s="31" t="s">
        <v>15</v>
      </c>
      <c r="B20" s="31"/>
      <c r="C20" s="82" t="s">
        <v>15</v>
      </c>
      <c r="D20" s="568" t="s">
        <v>15</v>
      </c>
      <c r="E20" s="568"/>
      <c r="F20" s="568"/>
      <c r="G20" s="568"/>
      <c r="H20" s="568"/>
      <c r="K20" s="31"/>
      <c r="L20" s="31"/>
      <c r="M20" s="31"/>
      <c r="N20" s="31"/>
      <c r="O20" s="50"/>
    </row>
    <row r="21" spans="1:32" x14ac:dyDescent="0.2">
      <c r="A21" s="31" t="s">
        <v>15</v>
      </c>
      <c r="B21" s="31"/>
      <c r="C21" s="82" t="s">
        <v>15</v>
      </c>
      <c r="D21" s="568" t="s">
        <v>15</v>
      </c>
      <c r="E21" s="568"/>
      <c r="F21" s="568"/>
      <c r="G21" s="568"/>
      <c r="H21" s="568"/>
      <c r="I21" s="23"/>
      <c r="J21" s="23"/>
      <c r="K21" s="31"/>
      <c r="L21" s="31"/>
      <c r="M21" s="31"/>
      <c r="N21" s="31"/>
      <c r="O21" s="50"/>
    </row>
    <row r="22" spans="1:32" x14ac:dyDescent="0.2">
      <c r="A22" s="31"/>
      <c r="B22" s="31"/>
      <c r="C22" s="33"/>
      <c r="D22" s="33"/>
      <c r="E22" s="33"/>
      <c r="F22" s="33"/>
      <c r="G22" s="23"/>
      <c r="H22" s="23"/>
      <c r="I22" s="23"/>
      <c r="J22" s="23"/>
      <c r="K22" s="31"/>
      <c r="L22" s="31"/>
      <c r="M22" s="31"/>
      <c r="N22" s="31"/>
      <c r="O22" s="31"/>
    </row>
    <row r="23" spans="1:32" x14ac:dyDescent="0.2">
      <c r="A23" s="28" t="s">
        <v>31</v>
      </c>
      <c r="B23" s="22"/>
      <c r="C23" s="22"/>
      <c r="D23" s="22"/>
      <c r="E23" s="22"/>
      <c r="F23" s="22"/>
      <c r="G23" s="560" t="s">
        <v>67</v>
      </c>
      <c r="H23" s="561"/>
      <c r="I23" s="561"/>
      <c r="J23" s="562"/>
      <c r="K23" s="22"/>
      <c r="L23" s="563" t="s">
        <v>68</v>
      </c>
      <c r="M23" s="563"/>
      <c r="N23" s="563"/>
      <c r="O23" s="563"/>
    </row>
    <row r="24" spans="1:32" x14ac:dyDescent="0.2">
      <c r="A24" s="18"/>
      <c r="B24" s="18"/>
      <c r="C24" s="18"/>
      <c r="D24" s="18"/>
      <c r="E24" s="18"/>
      <c r="F24" s="18"/>
      <c r="G24" s="8" t="s">
        <v>64</v>
      </c>
      <c r="H24" s="8" t="s">
        <v>65</v>
      </c>
      <c r="I24" s="8" t="s">
        <v>66</v>
      </c>
      <c r="J24" s="112" t="s">
        <v>34</v>
      </c>
      <c r="K24" s="18"/>
      <c r="L24" s="131" t="s">
        <v>64</v>
      </c>
      <c r="M24" s="131" t="s">
        <v>65</v>
      </c>
      <c r="N24" s="131" t="s">
        <v>66</v>
      </c>
      <c r="O24" s="132" t="s">
        <v>34</v>
      </c>
      <c r="P24" s="43" t="s">
        <v>56</v>
      </c>
      <c r="AF24" s="226"/>
    </row>
    <row r="25" spans="1:32" x14ac:dyDescent="0.2">
      <c r="A25" t="s">
        <v>32</v>
      </c>
      <c r="G25" s="86"/>
      <c r="H25" s="86"/>
      <c r="I25" s="86">
        <f>IF(D14&gt;2000,3600,825)</f>
        <v>825</v>
      </c>
      <c r="J25" s="86">
        <f>SUM(G25:I25)</f>
        <v>825</v>
      </c>
      <c r="L25" s="88"/>
      <c r="M25" s="88"/>
      <c r="N25" s="88">
        <f>I25</f>
        <v>825</v>
      </c>
      <c r="O25" s="209">
        <f>SUM(L25:N25)</f>
        <v>825</v>
      </c>
      <c r="P25" s="245">
        <v>44531</v>
      </c>
      <c r="AF25" s="226"/>
    </row>
    <row r="26" spans="1:32" x14ac:dyDescent="0.2">
      <c r="A26" t="s">
        <v>132</v>
      </c>
      <c r="D26" s="1">
        <f>D16</f>
        <v>0</v>
      </c>
      <c r="E26" s="101" t="s">
        <v>41</v>
      </c>
      <c r="F26" s="102" t="s">
        <v>8</v>
      </c>
      <c r="G26" s="84"/>
      <c r="H26" s="86"/>
      <c r="I26" s="86"/>
      <c r="J26" s="84"/>
      <c r="K26" s="104" t="s">
        <v>42</v>
      </c>
      <c r="L26" s="87"/>
      <c r="M26" s="88"/>
      <c r="N26" s="87"/>
      <c r="O26" s="209"/>
      <c r="P26" s="245"/>
      <c r="AF26" s="226"/>
    </row>
    <row r="27" spans="1:32" x14ac:dyDescent="0.2">
      <c r="A27" t="s">
        <v>33</v>
      </c>
      <c r="D27" s="292">
        <f>ROUND(MAX(D14,D15,('Customer Info'!B15-100)*0.6,('Customer Info'!B17-100)*0.6),1)</f>
        <v>0</v>
      </c>
      <c r="E27" s="29" t="s">
        <v>45</v>
      </c>
      <c r="F27" s="4" t="s">
        <v>8</v>
      </c>
      <c r="G27" s="85"/>
      <c r="H27" s="85"/>
      <c r="I27" s="85">
        <v>0</v>
      </c>
      <c r="J27" s="85">
        <f>SUM(G27:I27)</f>
        <v>0</v>
      </c>
      <c r="K27" s="36" t="s">
        <v>44</v>
      </c>
      <c r="L27" s="87"/>
      <c r="M27" s="87"/>
      <c r="N27" s="87">
        <f>ROUND($D27*I27,2)</f>
        <v>0</v>
      </c>
      <c r="O27" s="209">
        <f>SUM(L27:N27)</f>
        <v>0</v>
      </c>
      <c r="P27" s="245">
        <v>44531</v>
      </c>
      <c r="AF27" s="293"/>
    </row>
    <row r="28" spans="1:32" x14ac:dyDescent="0.2">
      <c r="A28" t="s">
        <v>270</v>
      </c>
      <c r="D28" s="49">
        <f>D18</f>
        <v>0</v>
      </c>
      <c r="E28" s="29" t="s">
        <v>268</v>
      </c>
      <c r="F28" s="4" t="s">
        <v>8</v>
      </c>
      <c r="G28" s="116"/>
      <c r="H28" s="85"/>
      <c r="I28" s="85">
        <v>0.7</v>
      </c>
      <c r="J28" s="116">
        <f>SUM(G28:I28)</f>
        <v>0.7</v>
      </c>
      <c r="K28" s="36" t="s">
        <v>44</v>
      </c>
      <c r="L28" s="87"/>
      <c r="M28" s="87"/>
      <c r="N28" s="87">
        <f>ROUND($D28*I28,2)</f>
        <v>0</v>
      </c>
      <c r="O28" s="87">
        <f>SUM(L28:N28)</f>
        <v>0</v>
      </c>
      <c r="P28" s="245">
        <v>44531</v>
      </c>
      <c r="AF28" s="293"/>
    </row>
    <row r="29" spans="1:32" x14ac:dyDescent="0.2">
      <c r="A29" s="37" t="s">
        <v>50</v>
      </c>
      <c r="B29" s="37"/>
      <c r="C29" s="37"/>
      <c r="D29" s="38"/>
      <c r="E29" s="38"/>
      <c r="F29" s="37"/>
      <c r="G29" s="37"/>
      <c r="H29" s="37"/>
      <c r="I29" s="37"/>
      <c r="J29" s="37"/>
      <c r="K29" s="39"/>
      <c r="L29" s="40"/>
      <c r="M29" s="40"/>
      <c r="N29" s="40">
        <f>SUM(N25:N28)</f>
        <v>825</v>
      </c>
      <c r="O29" s="40">
        <f>SUM(O25:O28)</f>
        <v>825</v>
      </c>
      <c r="AF29" s="226"/>
    </row>
    <row r="30" spans="1:32" x14ac:dyDescent="0.2">
      <c r="A30" s="89"/>
      <c r="B30" s="89"/>
      <c r="C30" s="90"/>
      <c r="D30" s="90"/>
      <c r="E30" s="90"/>
      <c r="F30" s="90"/>
      <c r="G30" s="91"/>
      <c r="H30" s="91"/>
      <c r="I30" s="91"/>
      <c r="J30" s="91"/>
      <c r="K30" s="89"/>
      <c r="L30" s="89"/>
      <c r="M30" s="89"/>
      <c r="N30" s="89"/>
      <c r="O30" s="89"/>
      <c r="P30" s="89"/>
      <c r="AF30" s="226"/>
    </row>
    <row r="31" spans="1:32" x14ac:dyDescent="0.2">
      <c r="A31" s="41" t="s">
        <v>69</v>
      </c>
      <c r="D31" s="1"/>
      <c r="E31" s="1"/>
      <c r="K31" s="36"/>
      <c r="L31" s="36"/>
      <c r="M31" s="36"/>
      <c r="N31" s="36"/>
      <c r="O31" s="34"/>
      <c r="P31" s="34"/>
      <c r="AF31" s="226"/>
    </row>
    <row r="32" spans="1:32" x14ac:dyDescent="0.2">
      <c r="A32" s="37"/>
      <c r="D32" s="1"/>
      <c r="E32" s="1"/>
      <c r="K32" s="36"/>
      <c r="L32" s="36"/>
      <c r="M32" s="36"/>
      <c r="N32" s="36"/>
      <c r="O32" s="34"/>
      <c r="AF32" s="226"/>
    </row>
    <row r="33" spans="1:220" x14ac:dyDescent="0.2">
      <c r="A33" s="78" t="s">
        <v>78</v>
      </c>
      <c r="D33" s="295">
        <f>IF($C$16&lt;0,0,IF($C$16&gt;833000,833000,$C$16))</f>
        <v>0</v>
      </c>
      <c r="E33" s="35" t="s">
        <v>41</v>
      </c>
      <c r="F33" s="4" t="s">
        <v>8</v>
      </c>
      <c r="G33" s="83"/>
      <c r="H33" s="84"/>
      <c r="I33" s="103">
        <f>'Rider Rates'!$B$4</f>
        <v>5.9216E-3</v>
      </c>
      <c r="J33" s="6">
        <f>SUM(G33:I33)</f>
        <v>5.9216E-3</v>
      </c>
      <c r="K33" s="36" t="s">
        <v>42</v>
      </c>
      <c r="L33" s="87"/>
      <c r="M33" s="87"/>
      <c r="N33" s="87">
        <f>ROUND($D33*I33,2)</f>
        <v>0</v>
      </c>
      <c r="O33" s="87">
        <f>SUM(L33:N33)</f>
        <v>0</v>
      </c>
      <c r="P33" s="245">
        <f>'Rider Rates'!$D$4</f>
        <v>45293</v>
      </c>
      <c r="AF33" s="226"/>
    </row>
    <row r="34" spans="1:220" x14ac:dyDescent="0.2">
      <c r="A34" s="78" t="s">
        <v>79</v>
      </c>
      <c r="D34" s="295">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45293</v>
      </c>
      <c r="AF34" s="226"/>
    </row>
    <row r="35" spans="1:220" x14ac:dyDescent="0.2">
      <c r="A35" s="78" t="s">
        <v>47</v>
      </c>
      <c r="B35" t="s">
        <v>15</v>
      </c>
      <c r="D35" s="295">
        <f>IF('Customer Info'!$C$33=TRUE,0,IF(C16&lt;0,0,IF(C16&gt;2000,2000,C16)))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c r="AF35" s="226"/>
    </row>
    <row r="36" spans="1:220" x14ac:dyDescent="0.2">
      <c r="A36" s="78" t="s">
        <v>48</v>
      </c>
      <c r="B36" t="s">
        <v>15</v>
      </c>
      <c r="D36" s="295">
        <f>IF('Customer Info'!$C$33=TRUE,0,IF(C16&gt;15000,13000,IF(C16&gt;2000,C16-2000,0)))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c r="AF36" s="226"/>
    </row>
    <row r="37" spans="1:220" x14ac:dyDescent="0.2">
      <c r="A37" s="78" t="s">
        <v>49</v>
      </c>
      <c r="B37" t="s">
        <v>15</v>
      </c>
      <c r="D37" s="295">
        <f>IF('Customer Info'!$C$33=TRUE,0,IF(C16-D35-D36&gt;0,C16-D35-D36,0))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c r="AF37" s="226"/>
    </row>
    <row r="38" spans="1:220" x14ac:dyDescent="0.2">
      <c r="A38" s="241" t="s">
        <v>245</v>
      </c>
      <c r="B38" s="78"/>
      <c r="C38" s="78"/>
      <c r="D38" s="296">
        <f>$N$29</f>
        <v>825</v>
      </c>
      <c r="E38" s="101" t="s">
        <v>121</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c r="AF38" s="226"/>
    </row>
    <row r="39" spans="1:220" x14ac:dyDescent="0.2">
      <c r="A39" s="210" t="s">
        <v>194</v>
      </c>
      <c r="B39" s="78"/>
      <c r="C39" s="78"/>
      <c r="D39" s="295">
        <f>'Customer Info'!$B$22+'Customer Info'!$B$23-'Customer Info'!$B$24</f>
        <v>0</v>
      </c>
      <c r="E39" s="101" t="s">
        <v>41</v>
      </c>
      <c r="F39" s="102" t="s">
        <v>8</v>
      </c>
      <c r="G39" s="103">
        <f>'Rider Rates'!B25</f>
        <v>6.6629999999999995E-2</v>
      </c>
      <c r="H39" s="103"/>
      <c r="I39" s="103"/>
      <c r="J39" s="237">
        <f>SUM(G39:H39)</f>
        <v>6.6629999999999995E-2</v>
      </c>
      <c r="K39" s="104" t="s">
        <v>42</v>
      </c>
      <c r="L39" s="105">
        <f>ROUND(D39*G39,2)</f>
        <v>0</v>
      </c>
      <c r="M39" s="105"/>
      <c r="N39" s="105"/>
      <c r="O39" s="105">
        <f t="shared" si="0"/>
        <v>0</v>
      </c>
      <c r="P39" s="245">
        <f>'Rider Rates'!$D$23</f>
        <v>45444</v>
      </c>
      <c r="AF39" s="226"/>
    </row>
    <row r="40" spans="1:220" x14ac:dyDescent="0.2">
      <c r="A40" s="241" t="s">
        <v>161</v>
      </c>
      <c r="B40" s="78"/>
      <c r="C40" s="78"/>
      <c r="D40" s="295">
        <f>'Customer Info'!$B$22+'Customer Info'!$B$23-'Customer Info'!$B$24</f>
        <v>0</v>
      </c>
      <c r="E40" s="101" t="s">
        <v>41</v>
      </c>
      <c r="F40" s="102" t="s">
        <v>8</v>
      </c>
      <c r="G40" s="103">
        <f>'Rider Rates'!$B$43</f>
        <v>1.66E-3</v>
      </c>
      <c r="H40" s="103"/>
      <c r="I40" s="103"/>
      <c r="J40" s="237">
        <f>SUM(G40:H40)</f>
        <v>1.66E-3</v>
      </c>
      <c r="K40" s="104" t="s">
        <v>42</v>
      </c>
      <c r="L40" s="105">
        <f>ROUND(D40*G40,2)</f>
        <v>0</v>
      </c>
      <c r="M40" s="105"/>
      <c r="N40" s="105"/>
      <c r="O40" s="105">
        <f t="shared" si="0"/>
        <v>0</v>
      </c>
      <c r="P40" s="245">
        <f>'Rider Rates'!$D$43</f>
        <v>45444</v>
      </c>
      <c r="AF40" s="226"/>
    </row>
    <row r="41" spans="1:220" x14ac:dyDescent="0.2">
      <c r="A41" s="210" t="s">
        <v>201</v>
      </c>
      <c r="B41" s="78"/>
      <c r="C41" s="78"/>
      <c r="D41" s="295">
        <f>'Customer Info'!$B$22+'Customer Info'!$B$23-'Customer Info'!$B$24</f>
        <v>0</v>
      </c>
      <c r="E41" s="101" t="s">
        <v>41</v>
      </c>
      <c r="F41" s="102" t="s">
        <v>8</v>
      </c>
      <c r="G41" s="103">
        <f>'Rider Rates'!$B$49</f>
        <v>-3.1569999999999998E-4</v>
      </c>
      <c r="H41" s="103"/>
      <c r="I41" s="103"/>
      <c r="J41" s="237">
        <f>SUM(G41:H41)</f>
        <v>-3.1569999999999998E-4</v>
      </c>
      <c r="K41" s="104" t="s">
        <v>42</v>
      </c>
      <c r="L41" s="105">
        <f>ROUND(D41*G41,2)</f>
        <v>0</v>
      </c>
      <c r="M41" s="105"/>
      <c r="N41" s="105"/>
      <c r="O41" s="105">
        <f t="shared" si="0"/>
        <v>0</v>
      </c>
      <c r="P41" s="245">
        <f>'Rider Rates'!$D$49</f>
        <v>45471</v>
      </c>
      <c r="AF41" s="226"/>
    </row>
    <row r="42" spans="1:220" x14ac:dyDescent="0.2">
      <c r="A42" s="241" t="s">
        <v>218</v>
      </c>
      <c r="B42" s="78"/>
      <c r="C42" s="78"/>
      <c r="D42" s="295">
        <f>IF($C$16&lt;0,0,IF($C$16&gt;833000,833000,$C$16))</f>
        <v>0</v>
      </c>
      <c r="E42" s="101" t="s">
        <v>41</v>
      </c>
      <c r="F42" s="102" t="s">
        <v>8</v>
      </c>
      <c r="G42" s="103"/>
      <c r="H42" s="103"/>
      <c r="I42" s="103">
        <f>'Rider Rates'!D53</f>
        <v>1.8006999999999999E-3</v>
      </c>
      <c r="J42" s="103">
        <f>SUM(G42:I42)</f>
        <v>1.8006999999999999E-3</v>
      </c>
      <c r="K42" s="104" t="s">
        <v>42</v>
      </c>
      <c r="L42" s="105"/>
      <c r="M42" s="105"/>
      <c r="N42" s="87">
        <f>D42*J42</f>
        <v>0</v>
      </c>
      <c r="O42" s="105">
        <f t="shared" si="0"/>
        <v>0</v>
      </c>
      <c r="P42" s="245">
        <f>'Rider Rates'!E53</f>
        <v>45474</v>
      </c>
      <c r="AF42" s="226"/>
    </row>
    <row r="43" spans="1:220" x14ac:dyDescent="0.2">
      <c r="A43" s="210" t="s">
        <v>197</v>
      </c>
      <c r="B43" s="78"/>
      <c r="C43" s="78"/>
      <c r="D43" s="295">
        <f>IF($C$16&lt;0,0,$C$16)</f>
        <v>0</v>
      </c>
      <c r="E43" s="113" t="s">
        <v>41</v>
      </c>
      <c r="F43" s="102" t="s">
        <v>8</v>
      </c>
      <c r="G43" s="103"/>
      <c r="H43" s="103">
        <f>'Rider Rates'!$B$63</f>
        <v>5.7019999999999998E-4</v>
      </c>
      <c r="I43" s="103"/>
      <c r="J43" s="103">
        <f>SUM(G43:I43)</f>
        <v>5.7019999999999998E-4</v>
      </c>
      <c r="K43" s="104" t="s">
        <v>42</v>
      </c>
      <c r="L43" s="105"/>
      <c r="M43" s="105">
        <f>ROUND(D43*H43,2)</f>
        <v>0</v>
      </c>
      <c r="N43" s="205"/>
      <c r="O43" s="105">
        <f t="shared" si="0"/>
        <v>0</v>
      </c>
      <c r="P43" s="245">
        <f>'Rider Rates'!$D$63</f>
        <v>45383</v>
      </c>
      <c r="AF43" s="226"/>
    </row>
    <row r="44" spans="1:220" x14ac:dyDescent="0.2">
      <c r="A44" s="210" t="s">
        <v>197</v>
      </c>
      <c r="B44" s="78"/>
      <c r="C44" s="78"/>
      <c r="D44" s="293">
        <f>D14</f>
        <v>0</v>
      </c>
      <c r="E44" s="35" t="s">
        <v>63</v>
      </c>
      <c r="F44" s="4" t="s">
        <v>8</v>
      </c>
      <c r="G44" s="103"/>
      <c r="H44" s="239">
        <f>'Rider Rates'!$B$68</f>
        <v>7.45</v>
      </c>
      <c r="I44" s="103"/>
      <c r="J44" s="239">
        <f>SUM(G44:I44)</f>
        <v>7.45</v>
      </c>
      <c r="K44" s="104" t="s">
        <v>44</v>
      </c>
      <c r="L44" s="105"/>
      <c r="M44" s="105">
        <f>ROUND(D44*H44,2)</f>
        <v>0</v>
      </c>
      <c r="N44" s="205"/>
      <c r="O44" s="105">
        <f t="shared" si="0"/>
        <v>0</v>
      </c>
      <c r="P44" s="245">
        <f>'Rider Rates'!$D$68</f>
        <v>45383</v>
      </c>
      <c r="AF44" s="294"/>
    </row>
    <row r="45" spans="1:220" x14ac:dyDescent="0.2">
      <c r="A45" s="99" t="s">
        <v>82</v>
      </c>
      <c r="B45" s="78"/>
      <c r="C45" s="78"/>
      <c r="D45" s="295">
        <f>IF('Customer Info'!C35=TRUE,0,IF($C$16&lt;0,0,$C$16))</f>
        <v>0</v>
      </c>
      <c r="E45" s="101" t="s">
        <v>41</v>
      </c>
      <c r="F45" s="102" t="s">
        <v>8</v>
      </c>
      <c r="G45" s="103"/>
      <c r="H45" s="103"/>
      <c r="I45" s="103">
        <f>'Rider Rates'!$B$75+'Rider Rates'!$C$75</f>
        <v>0</v>
      </c>
      <c r="J45" s="103">
        <f>SUM(G45:I45)</f>
        <v>0</v>
      </c>
      <c r="K45" s="104" t="s">
        <v>42</v>
      </c>
      <c r="L45" s="105"/>
      <c r="M45" s="105"/>
      <c r="N45" s="87">
        <f>ROUND($D$45*'Rider Rates'!$B$75,2)+ROUND($D$45*'Rider Rates'!$C$75,2)</f>
        <v>0</v>
      </c>
      <c r="O45" s="209">
        <f t="shared" ref="O45:O52" si="1">SUM(L45:N45)</f>
        <v>0</v>
      </c>
      <c r="P45" s="245">
        <f>'Rider Rates'!$D$75</f>
        <v>44531</v>
      </c>
      <c r="Q45" s="107"/>
      <c r="R45" s="108"/>
      <c r="S45" s="109"/>
      <c r="T45" s="78"/>
      <c r="U45" s="110"/>
      <c r="V45" s="78"/>
      <c r="W45" s="78"/>
      <c r="X45" s="78"/>
      <c r="Y45" s="78"/>
      <c r="Z45" s="78"/>
      <c r="AA45" s="78"/>
      <c r="AB45" s="78"/>
      <c r="AC45" s="78"/>
      <c r="AD45" s="78"/>
      <c r="AE45" s="78"/>
      <c r="AF45" s="276"/>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82</v>
      </c>
      <c r="B46" s="78"/>
      <c r="C46" s="78"/>
      <c r="D46" s="294">
        <f>IF('Customer Info'!C35=TRUE,0,$D$27)</f>
        <v>0</v>
      </c>
      <c r="E46" s="101" t="s">
        <v>45</v>
      </c>
      <c r="F46" s="102" t="s">
        <v>8</v>
      </c>
      <c r="G46" s="103"/>
      <c r="H46" s="103"/>
      <c r="I46" s="239">
        <f>'Rider Rates'!$B$85</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294"/>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80</v>
      </c>
      <c r="B47" s="78"/>
      <c r="C47" s="78"/>
      <c r="D47" s="296">
        <f>$N$29</f>
        <v>825</v>
      </c>
      <c r="E47" s="101" t="s">
        <v>121</v>
      </c>
      <c r="F47" s="102" t="s">
        <v>8</v>
      </c>
      <c r="G47" s="111"/>
      <c r="H47" s="112"/>
      <c r="I47" s="120">
        <f>'Rider Rates'!$B$89</f>
        <v>2.9347000000000002E-2</v>
      </c>
      <c r="J47" s="120">
        <f>SUM(H47:I47)</f>
        <v>2.9347000000000002E-2</v>
      </c>
      <c r="K47" s="104"/>
      <c r="L47" s="105"/>
      <c r="M47" s="105"/>
      <c r="N47" s="105">
        <f>ROUND(N$29*I47,2)</f>
        <v>24.21</v>
      </c>
      <c r="O47" s="209">
        <f t="shared" si="1"/>
        <v>24.21</v>
      </c>
      <c r="P47" s="245">
        <f>'Rider Rates'!$D$89</f>
        <v>45383</v>
      </c>
      <c r="Q47" s="107"/>
      <c r="R47" s="108"/>
      <c r="S47" s="109"/>
      <c r="T47" s="78"/>
      <c r="U47" s="110"/>
      <c r="V47" s="78"/>
      <c r="W47" s="78"/>
      <c r="X47" s="78"/>
      <c r="Y47" s="78"/>
      <c r="Z47" s="78"/>
      <c r="AA47" s="78"/>
      <c r="AB47" s="78"/>
      <c r="AC47" s="78"/>
      <c r="AD47" s="78"/>
      <c r="AE47" s="78"/>
      <c r="AF47" s="276"/>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96">
        <f>$N$29</f>
        <v>825</v>
      </c>
      <c r="E48" s="101" t="s">
        <v>121</v>
      </c>
      <c r="F48" s="102" t="s">
        <v>8</v>
      </c>
      <c r="G48" s="114"/>
      <c r="H48" s="115"/>
      <c r="I48" s="120">
        <f>'Rider Rates'!$B$91</f>
        <v>6.6985699999999995E-2</v>
      </c>
      <c r="J48" s="120">
        <f>SUM(H48:I48)</f>
        <v>6.6985699999999995E-2</v>
      </c>
      <c r="K48" s="104"/>
      <c r="L48" s="105"/>
      <c r="M48" s="105"/>
      <c r="N48" s="105">
        <f>ROUND(N$29*I48,2)</f>
        <v>55.26</v>
      </c>
      <c r="O48" s="209">
        <f t="shared" si="1"/>
        <v>55.26</v>
      </c>
      <c r="P48" s="245">
        <f>'Rider Rates'!$D$91</f>
        <v>45167</v>
      </c>
      <c r="Q48" s="107"/>
      <c r="R48" s="108"/>
      <c r="S48" s="109"/>
      <c r="T48" s="78"/>
      <c r="U48" s="110"/>
      <c r="V48" s="78"/>
      <c r="W48" s="78"/>
      <c r="X48" s="78"/>
      <c r="Y48" s="78"/>
      <c r="Z48" s="78"/>
      <c r="AA48" s="78"/>
      <c r="AB48" s="78"/>
      <c r="AC48" s="78"/>
      <c r="AD48" s="78"/>
      <c r="AE48" s="78"/>
      <c r="AF48" s="276"/>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214</v>
      </c>
      <c r="B49" s="78"/>
      <c r="C49" s="78"/>
      <c r="D49" s="297"/>
      <c r="E49" s="113" t="s">
        <v>114</v>
      </c>
      <c r="F49" s="106"/>
      <c r="G49" s="114"/>
      <c r="H49" s="115"/>
      <c r="I49" s="196">
        <f>'Rider Rates'!$B$95</f>
        <v>11.97</v>
      </c>
      <c r="J49" s="196">
        <f>SUM(G49:I49)</f>
        <v>11.97</v>
      </c>
      <c r="K49" s="104"/>
      <c r="L49" s="105"/>
      <c r="M49" s="105"/>
      <c r="N49" s="105">
        <f>I49</f>
        <v>11.97</v>
      </c>
      <c r="O49" s="105">
        <f>SUM(L49:N49)</f>
        <v>11.97</v>
      </c>
      <c r="P49" s="245">
        <f>'Rider Rates'!$D$95</f>
        <v>45442</v>
      </c>
      <c r="AF49" s="226"/>
    </row>
    <row r="50" spans="1:221" x14ac:dyDescent="0.2">
      <c r="A50" s="241" t="s">
        <v>261</v>
      </c>
      <c r="B50" s="78"/>
      <c r="C50" s="78"/>
      <c r="D50" s="295">
        <f>$D$33</f>
        <v>0</v>
      </c>
      <c r="E50" s="101" t="s">
        <v>41</v>
      </c>
      <c r="F50" s="102" t="s">
        <v>8</v>
      </c>
      <c r="G50" s="103"/>
      <c r="H50" s="103"/>
      <c r="I50" s="103"/>
      <c r="J50" s="103">
        <f>'Rider Rates'!$B$100</f>
        <v>0</v>
      </c>
      <c r="K50" s="104" t="s">
        <v>42</v>
      </c>
      <c r="L50" s="105"/>
      <c r="M50" s="105"/>
      <c r="N50" s="87"/>
      <c r="O50" s="105">
        <f>ROUND($D50*('Rider Rates'!B$100),2)</f>
        <v>0</v>
      </c>
      <c r="P50" s="245">
        <f>'Rider Rates'!$D$100</f>
        <v>44531</v>
      </c>
      <c r="Q50" s="106"/>
      <c r="R50" s="107"/>
      <c r="S50" s="108"/>
      <c r="T50" s="109"/>
      <c r="U50" s="78"/>
      <c r="V50" s="110"/>
      <c r="W50" s="78"/>
      <c r="X50" s="78"/>
      <c r="Y50" s="78"/>
      <c r="Z50" s="78"/>
      <c r="AA50" s="78"/>
      <c r="AB50" s="78"/>
      <c r="AC50" s="78"/>
      <c r="AD50" s="78"/>
      <c r="AE50" s="78"/>
      <c r="AF50" s="276"/>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262</v>
      </c>
      <c r="B51" s="78"/>
      <c r="C51" s="78"/>
      <c r="D51" s="1">
        <f>$D$34</f>
        <v>0</v>
      </c>
      <c r="E51" s="101" t="s">
        <v>41</v>
      </c>
      <c r="F51" s="102" t="s">
        <v>8</v>
      </c>
      <c r="G51" s="103"/>
      <c r="H51" s="103"/>
      <c r="I51" s="103"/>
      <c r="J51" s="103">
        <f>'Rider Rates'!$B$101</f>
        <v>0</v>
      </c>
      <c r="K51" s="104" t="s">
        <v>42</v>
      </c>
      <c r="L51" s="105"/>
      <c r="M51" s="105"/>
      <c r="N51" s="87"/>
      <c r="O51" s="105">
        <f>ROUND($D51*('Rider Rates'!B$101),2)</f>
        <v>0</v>
      </c>
      <c r="P51" s="245">
        <f>'Rider Rates'!$D$101</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121</v>
      </c>
      <c r="F52" s="102" t="s">
        <v>8</v>
      </c>
      <c r="G52" s="114"/>
      <c r="H52" s="115"/>
      <c r="I52" s="120">
        <f>'Rider Rates'!$B$109</f>
        <v>0.211176</v>
      </c>
      <c r="J52" s="120">
        <f>SUM(H52:I52)</f>
        <v>0.211176</v>
      </c>
      <c r="K52" s="104"/>
      <c r="L52" s="105"/>
      <c r="M52" s="105"/>
      <c r="N52" s="105">
        <f>ROUND(N$29*I52,2)</f>
        <v>174.22</v>
      </c>
      <c r="O52" s="105">
        <f t="shared" si="1"/>
        <v>174.22</v>
      </c>
      <c r="P52" s="245">
        <f>'Rider Rates'!$D$109</f>
        <v>45532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114</v>
      </c>
      <c r="F53" s="106"/>
      <c r="G53" s="114"/>
      <c r="H53" s="115"/>
      <c r="I53" s="196">
        <f>'Rider Rates'!$B$113</f>
        <v>0</v>
      </c>
      <c r="J53" s="196">
        <f>SUM(G53:I53)</f>
        <v>0</v>
      </c>
      <c r="K53" s="104"/>
      <c r="L53" s="105"/>
      <c r="M53" s="105"/>
      <c r="N53" s="105">
        <f>I53</f>
        <v>0</v>
      </c>
      <c r="O53" s="105">
        <f t="shared" ref="O53:O58" si="2">SUM(L53:N53)</f>
        <v>0</v>
      </c>
      <c r="P53" s="245">
        <f>'Rider Rates'!$D$113</f>
        <v>44894</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225</v>
      </c>
      <c r="B54" s="78"/>
      <c r="C54" s="78"/>
      <c r="D54" s="195"/>
      <c r="E54" s="113" t="s">
        <v>114</v>
      </c>
      <c r="F54" s="106"/>
      <c r="G54" s="114"/>
      <c r="H54" s="115"/>
      <c r="I54" s="258">
        <f>'Rider Rates'!B126</f>
        <v>5.83</v>
      </c>
      <c r="J54" s="196">
        <f>SUM(G54:I54)</f>
        <v>5.83</v>
      </c>
      <c r="K54" s="104"/>
      <c r="L54" s="105"/>
      <c r="M54" s="105"/>
      <c r="N54" s="260">
        <f>I54</f>
        <v>5.83</v>
      </c>
      <c r="O54" s="105">
        <f t="shared" si="2"/>
        <v>5.83</v>
      </c>
      <c r="P54" s="245">
        <f>'Rider Rates'!D126</f>
        <v>45226</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Info'!$C$33=TRUE,0,'Customer Info'!$B$22+'Customer Info'!$B$23-'Customer Info'!$B$24)</f>
        <v>0</v>
      </c>
      <c r="E55" s="101" t="s">
        <v>41</v>
      </c>
      <c r="F55" s="102" t="s">
        <v>8</v>
      </c>
      <c r="G55" s="103">
        <f>'Rider Rates'!$B$118</f>
        <v>3.6865999999999999E-3</v>
      </c>
      <c r="H55" s="103"/>
      <c r="I55" s="120"/>
      <c r="J55" s="237">
        <f>SUM(G55:H55)</f>
        <v>3.6865999999999999E-3</v>
      </c>
      <c r="K55" s="104" t="s">
        <v>42</v>
      </c>
      <c r="L55" s="105">
        <f>ROUND(D55*G55,2)</f>
        <v>0</v>
      </c>
      <c r="M55" s="105"/>
      <c r="N55" s="105"/>
      <c r="O55" s="105">
        <f t="shared" si="2"/>
        <v>0</v>
      </c>
      <c r="P55" s="245">
        <f>'Rider Rates'!$D$118</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216</v>
      </c>
      <c r="B56" s="78"/>
      <c r="C56" s="78"/>
      <c r="D56" s="1">
        <f>IF($C$16&lt;1,0,$C$16)</f>
        <v>0</v>
      </c>
      <c r="E56" s="101" t="s">
        <v>41</v>
      </c>
      <c r="F56" s="249" t="s">
        <v>8</v>
      </c>
      <c r="G56" s="165"/>
      <c r="H56" s="165"/>
      <c r="I56" s="251">
        <f>'Rider Rates'!B122</f>
        <v>-6.2E-4</v>
      </c>
      <c r="J56" s="251">
        <f>SUM(G56:I56)</f>
        <v>-6.2E-4</v>
      </c>
      <c r="K56" s="104" t="s">
        <v>42</v>
      </c>
      <c r="L56" s="105"/>
      <c r="M56" s="105"/>
      <c r="N56" s="105">
        <f>D56*I56</f>
        <v>0</v>
      </c>
      <c r="O56" s="105">
        <f t="shared" si="2"/>
        <v>0</v>
      </c>
      <c r="P56" s="245">
        <f>'Rider Rates'!D122</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241</v>
      </c>
      <c r="B57" s="78"/>
      <c r="C57" s="78"/>
      <c r="D57" s="100">
        <f>IF(C16&lt;0,0,IF(C16&gt;833000,833000,C16))</f>
        <v>0</v>
      </c>
      <c r="E57" s="101" t="s">
        <v>41</v>
      </c>
      <c r="F57" s="102" t="s">
        <v>8</v>
      </c>
      <c r="G57" s="265"/>
      <c r="H57" s="265"/>
      <c r="I57" s="265">
        <f>'Rider Rates'!$B$130</f>
        <v>2.9050000000000001E-4</v>
      </c>
      <c r="J57" s="265">
        <f>SUM(G57:I57)</f>
        <v>2.9050000000000001E-4</v>
      </c>
      <c r="K57" s="104" t="s">
        <v>42</v>
      </c>
      <c r="L57" s="266"/>
      <c r="M57" s="266"/>
      <c r="N57" s="266">
        <f>IF(D57*J57&gt;'Rider Rates'!$C$130,'Rider Rates'!$C$130,D57*J57)</f>
        <v>0</v>
      </c>
      <c r="O57" s="266">
        <f t="shared" si="2"/>
        <v>0</v>
      </c>
      <c r="P57" s="264">
        <f>'Rider Rates'!$E$130</f>
        <v>45292</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242</v>
      </c>
      <c r="B58" s="78"/>
      <c r="C58" s="78"/>
      <c r="D58" s="123">
        <f>IF(C16&gt;833000,C16-833000,0)</f>
        <v>0</v>
      </c>
      <c r="E58" s="101" t="s">
        <v>41</v>
      </c>
      <c r="F58" s="102" t="s">
        <v>8</v>
      </c>
      <c r="G58" s="265"/>
      <c r="H58" s="265"/>
      <c r="I58" s="265">
        <f>'Rider Rates'!$B$131</f>
        <v>0</v>
      </c>
      <c r="J58" s="265">
        <f>SUM(G58:I58)</f>
        <v>0</v>
      </c>
      <c r="K58" s="104" t="s">
        <v>42</v>
      </c>
      <c r="L58" s="266"/>
      <c r="M58" s="266"/>
      <c r="N58" s="266">
        <f>D58*J58</f>
        <v>0</v>
      </c>
      <c r="O58" s="266">
        <f t="shared" si="2"/>
        <v>0</v>
      </c>
      <c r="P58" s="264">
        <f>'Rider Rates'!$E$131</f>
        <v>44927</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250</v>
      </c>
      <c r="B59" s="78"/>
      <c r="C59" s="78"/>
      <c r="D59" s="100">
        <f>D16</f>
        <v>0</v>
      </c>
      <c r="E59" s="101" t="s">
        <v>41</v>
      </c>
      <c r="F59" s="249" t="s">
        <v>8</v>
      </c>
      <c r="G59" s="103"/>
      <c r="H59" s="103"/>
      <c r="I59" s="103">
        <f>'Rider Rates'!$B$137</f>
        <v>0</v>
      </c>
      <c r="J59" s="237">
        <f>SUM(G59:I59)</f>
        <v>0</v>
      </c>
      <c r="K59" s="104" t="s">
        <v>42</v>
      </c>
      <c r="L59" s="105"/>
      <c r="M59" s="105"/>
      <c r="N59" s="105">
        <f>D59*J59</f>
        <v>0</v>
      </c>
      <c r="O59" s="105">
        <f>SUM(L59:N59)</f>
        <v>0</v>
      </c>
      <c r="P59" s="245">
        <f>'Rider Rates'!$D$135</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249</v>
      </c>
      <c r="B60" s="78"/>
      <c r="C60" s="78"/>
      <c r="D60" s="100"/>
      <c r="E60" s="101" t="s">
        <v>114</v>
      </c>
      <c r="F60" s="102" t="s">
        <v>8</v>
      </c>
      <c r="G60" s="263"/>
      <c r="H60" s="263"/>
      <c r="I60" s="263">
        <f>'Rider Rates'!$B$142</f>
        <v>0</v>
      </c>
      <c r="J60" s="263">
        <f>SUM(G60:I60)</f>
        <v>0</v>
      </c>
      <c r="K60" s="104"/>
      <c r="L60" s="209"/>
      <c r="M60" s="209"/>
      <c r="N60" s="209">
        <f>J60</f>
        <v>0</v>
      </c>
      <c r="O60" s="209">
        <f>SUM(L60:N60)</f>
        <v>0</v>
      </c>
      <c r="P60" s="264">
        <f>'Rider Rates'!$D$142</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251</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70</v>
      </c>
      <c r="B62" s="148"/>
      <c r="C62" s="148"/>
      <c r="D62" s="180"/>
      <c r="E62" s="181"/>
      <c r="F62" s="182"/>
      <c r="G62" s="182"/>
      <c r="H62" s="182"/>
      <c r="I62" s="182"/>
      <c r="J62" s="182"/>
      <c r="K62" s="183"/>
      <c r="L62" s="169">
        <f>SUM(L33:L61)</f>
        <v>0</v>
      </c>
      <c r="M62" s="169">
        <f>SUM(M33:M61)</f>
        <v>0</v>
      </c>
      <c r="N62" s="169">
        <f>SUM(N33:N61)</f>
        <v>271.48999999999995</v>
      </c>
      <c r="O62" s="169">
        <f>SUM(O33:O61)</f>
        <v>271.48999999999995</v>
      </c>
      <c r="P62" s="184"/>
    </row>
    <row r="63" spans="1:221" x14ac:dyDescent="0.2">
      <c r="A63" s="37"/>
      <c r="D63" s="1"/>
      <c r="E63" s="35"/>
      <c r="F63" s="4"/>
      <c r="G63" s="42"/>
      <c r="H63" s="42"/>
      <c r="I63" s="42"/>
      <c r="J63" s="42"/>
      <c r="K63" s="36"/>
      <c r="L63" s="36"/>
      <c r="M63" s="36"/>
      <c r="N63" s="36"/>
      <c r="O63" s="34"/>
      <c r="P63" s="36"/>
    </row>
    <row r="64" spans="1:221" x14ac:dyDescent="0.2">
      <c r="A64" s="81" t="s">
        <v>71</v>
      </c>
      <c r="B64" s="92"/>
      <c r="C64" s="92"/>
      <c r="D64" s="92"/>
      <c r="E64" s="92"/>
      <c r="F64" s="92"/>
      <c r="G64" s="92"/>
      <c r="H64" s="92"/>
      <c r="I64" s="92"/>
      <c r="J64" s="92"/>
      <c r="K64" s="92"/>
      <c r="L64" s="98">
        <f>L29+L62</f>
        <v>0</v>
      </c>
      <c r="M64" s="98">
        <f>M29+M62</f>
        <v>0</v>
      </c>
      <c r="N64" s="98">
        <f>N29+N62</f>
        <v>1096.49</v>
      </c>
      <c r="O64" s="98">
        <f>O29+O62</f>
        <v>1096.49</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O25+O27+O62</f>
        <v>1096.49</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116</v>
      </c>
      <c r="B68" s="37"/>
      <c r="C68" s="37"/>
      <c r="D68" s="37"/>
      <c r="E68" s="37"/>
      <c r="F68" s="37"/>
      <c r="G68" s="46"/>
      <c r="H68" s="46"/>
      <c r="I68" s="46"/>
      <c r="J68" s="46"/>
      <c r="K68" s="36"/>
      <c r="L68" s="36"/>
      <c r="M68" s="36"/>
      <c r="N68" s="36"/>
      <c r="O68" s="138">
        <f>MAX($O$64,$O$66)</f>
        <v>1096.49</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85</v>
      </c>
      <c r="H70" s="46"/>
      <c r="I70" s="37"/>
      <c r="J70" s="46"/>
      <c r="K70" s="36"/>
      <c r="L70" s="191"/>
      <c r="M70" s="191"/>
      <c r="N70" s="191"/>
      <c r="O70" s="191">
        <f>ROUND(IF($C$16&lt;1,0,$O$68/($C$16*100)*10000),2)</f>
        <v>0</v>
      </c>
      <c r="P70" s="37" t="s">
        <v>86</v>
      </c>
    </row>
    <row r="71" spans="1:16" x14ac:dyDescent="0.2">
      <c r="A71" s="37"/>
      <c r="B71" s="37"/>
      <c r="C71" s="37"/>
      <c r="D71" s="37"/>
      <c r="E71" s="37"/>
      <c r="F71" s="37"/>
      <c r="G71" s="242" t="s">
        <v>198</v>
      </c>
      <c r="H71" s="136"/>
      <c r="I71" s="133"/>
      <c r="J71" s="136"/>
      <c r="K71" s="137"/>
      <c r="L71" s="78"/>
      <c r="M71" s="78"/>
      <c r="N71" s="78"/>
      <c r="O71" s="243">
        <f>ROUND(IF($C$16&lt;1,0,(L64)/($C$16*100)*10000),2)</f>
        <v>0</v>
      </c>
      <c r="P71" s="25" t="s">
        <v>86</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Info'!$C$33=TRUE,"Notice: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row r="94" spans="1:1" x14ac:dyDescent="0.2">
      <c r="A94" s="547"/>
    </row>
  </sheetData>
  <sheetProtection algorithmName="SHA-512" hashValue="o1bzU6sh7bDZJlTchMQW+vtS6TzRlj8gzak2w+EwWcLG9wpkzHT9b+rJuNsEZEuk3fYYVawtdq9uhkClHRWjhw==" saltValue="91oRJy1/d07DDs8G0vztwA==" spinCount="100000" sheet="1" objects="1" scenarios="1"/>
  <mergeCells count="26">
    <mergeCell ref="A80:A94"/>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IB89"/>
  <sheetViews>
    <sheetView showGridLines="0" topLeftCell="A19" zoomScale="80" zoomScaleNormal="80" workbookViewId="0">
      <selection activeCell="A41" sqref="A4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49" t="s">
        <v>119</v>
      </c>
      <c r="B1" s="549"/>
      <c r="C1" s="549"/>
      <c r="D1" s="549"/>
      <c r="E1" s="549"/>
      <c r="F1" s="549"/>
      <c r="G1" s="549"/>
      <c r="H1" s="549"/>
      <c r="I1" s="549"/>
      <c r="J1" s="549"/>
      <c r="K1" s="549"/>
      <c r="L1" s="549"/>
      <c r="M1" s="549"/>
      <c r="N1" s="549"/>
      <c r="O1" s="549"/>
      <c r="P1" s="549"/>
      <c r="Q1" s="197"/>
    </row>
    <row r="2" spans="1:59" ht="18" customHeight="1" x14ac:dyDescent="0.2">
      <c r="A2" s="558" t="s">
        <v>276</v>
      </c>
      <c r="B2" s="558"/>
      <c r="C2" s="558"/>
      <c r="D2" s="558"/>
      <c r="E2" s="558"/>
      <c r="F2" s="558"/>
      <c r="G2" s="558"/>
      <c r="H2" s="558"/>
      <c r="I2" s="558"/>
      <c r="J2" s="558"/>
      <c r="K2" s="558"/>
      <c r="L2" s="558"/>
      <c r="M2" s="558"/>
      <c r="N2" s="558"/>
      <c r="O2" s="558"/>
      <c r="P2" s="558"/>
    </row>
    <row r="3" spans="1:59" ht="18" x14ac:dyDescent="0.25">
      <c r="A3" s="558"/>
      <c r="B3" s="558"/>
      <c r="C3" s="558"/>
      <c r="D3" s="558"/>
      <c r="E3" s="558"/>
      <c r="F3" s="558"/>
      <c r="G3" s="558"/>
      <c r="H3" s="558"/>
      <c r="I3" s="558"/>
      <c r="J3" s="558"/>
      <c r="K3" s="558"/>
      <c r="L3" s="558"/>
      <c r="M3" s="558"/>
      <c r="N3" s="558"/>
      <c r="O3" s="558"/>
      <c r="P3" s="558"/>
      <c r="Q3" s="198"/>
    </row>
    <row r="4" spans="1:59"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45532</v>
      </c>
      <c r="B6" s="557" t="s">
        <v>275</v>
      </c>
      <c r="C6" s="557"/>
      <c r="D6" s="557"/>
      <c r="E6" s="557"/>
      <c r="F6" s="557"/>
      <c r="G6" s="557"/>
      <c r="H6" s="557"/>
      <c r="I6" s="557"/>
      <c r="J6" s="557"/>
      <c r="K6" s="557"/>
      <c r="L6" s="557"/>
      <c r="M6" s="557"/>
      <c r="N6" s="557"/>
      <c r="O6" s="557"/>
    </row>
    <row r="7" spans="1:59" x14ac:dyDescent="0.2">
      <c r="A7" s="548" t="s">
        <v>15</v>
      </c>
      <c r="B7" s="548"/>
      <c r="C7" s="548"/>
      <c r="D7" s="548"/>
      <c r="E7" s="548"/>
      <c r="F7" s="548"/>
      <c r="G7" s="548"/>
      <c r="H7" s="548"/>
      <c r="I7" s="548"/>
      <c r="J7" s="548"/>
      <c r="K7" s="548"/>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9</v>
      </c>
      <c r="C11" s="194" t="str">
        <f>LOOKUP($B$11,$S$11:$AD$11,S12:AD12)</f>
        <v>September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4" t="s">
        <v>67</v>
      </c>
      <c r="H23" s="555"/>
      <c r="I23" s="555"/>
      <c r="J23" s="556"/>
      <c r="K23" s="159"/>
      <c r="L23" s="551" t="s">
        <v>68</v>
      </c>
      <c r="M23" s="552"/>
      <c r="N23" s="552"/>
      <c r="O23" s="55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78</v>
      </c>
      <c r="B31" s="176"/>
      <c r="C31" s="176"/>
      <c r="D31" s="100">
        <f>IF($D$17&lt;0,0,IF($D$17&gt;833000,833000,$D$17))</f>
        <v>0</v>
      </c>
      <c r="E31" s="101" t="s">
        <v>41</v>
      </c>
      <c r="F31" s="102" t="s">
        <v>8</v>
      </c>
      <c r="G31" s="103"/>
      <c r="H31" s="103"/>
      <c r="I31" s="103">
        <f>'Rider Rates'!$B$4</f>
        <v>5.9216E-3</v>
      </c>
      <c r="J31" s="103">
        <f t="shared" ref="J31:J46" si="0">SUM(G31:I31)</f>
        <v>5.9216E-3</v>
      </c>
      <c r="K31" s="104" t="s">
        <v>42</v>
      </c>
      <c r="L31" s="105"/>
      <c r="M31" s="105"/>
      <c r="N31" s="105">
        <f t="shared" ref="N31:N37" si="1">ROUND(D31*I31,2)</f>
        <v>0</v>
      </c>
      <c r="O31" s="250">
        <f t="shared" ref="O31:O49"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113</v>
      </c>
      <c r="B36" s="78"/>
      <c r="C36" s="78"/>
      <c r="D36" s="195">
        <f>$N$27</f>
        <v>10</v>
      </c>
      <c r="E36" s="101" t="s">
        <v>121</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245</v>
      </c>
      <c r="B38" s="78"/>
      <c r="C38" s="78"/>
      <c r="D38" s="195">
        <f>$N$27</f>
        <v>10</v>
      </c>
      <c r="E38" s="101" t="s">
        <v>121</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218</v>
      </c>
      <c r="B39" s="78"/>
      <c r="C39" s="78"/>
      <c r="D39" s="100"/>
      <c r="E39" s="101" t="s">
        <v>114</v>
      </c>
      <c r="F39" s="102"/>
      <c r="G39" s="103"/>
      <c r="H39" s="103"/>
      <c r="I39" s="103">
        <f>'Rider Rates'!D52</f>
        <v>1.39</v>
      </c>
      <c r="J39" s="237">
        <f>SUM(G39:I39)</f>
        <v>1.39</v>
      </c>
      <c r="K39" s="104"/>
      <c r="L39" s="105"/>
      <c r="M39" s="105"/>
      <c r="N39" s="105">
        <f>J39</f>
        <v>1.39</v>
      </c>
      <c r="O39" s="105">
        <f>SUM(L39:N39)</f>
        <v>1.39</v>
      </c>
      <c r="P39" s="245">
        <f>'Rider Rates'!E52</f>
        <v>45474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197</v>
      </c>
      <c r="B40" s="78"/>
      <c r="C40" s="78"/>
      <c r="D40" s="100">
        <f>IF($D$17&lt;0,0,$D$17)</f>
        <v>0</v>
      </c>
      <c r="E40" s="113" t="s">
        <v>41</v>
      </c>
      <c r="F40" s="102" t="s">
        <v>8</v>
      </c>
      <c r="G40" s="103"/>
      <c r="H40" s="103">
        <f>'Rider Rates'!$B$59</f>
        <v>4.3837099999999997E-2</v>
      </c>
      <c r="I40" s="103"/>
      <c r="J40" s="103">
        <f>SUM(G40:I40)</f>
        <v>4.3837099999999997E-2</v>
      </c>
      <c r="K40" s="104" t="s">
        <v>42</v>
      </c>
      <c r="L40" s="105"/>
      <c r="M40" s="105">
        <f>ROUND(D40*H40,2)</f>
        <v>0</v>
      </c>
      <c r="N40" s="205"/>
      <c r="O40" s="105">
        <f t="shared" si="2"/>
        <v>0</v>
      </c>
      <c r="P40" s="245">
        <f>'Rider Rates'!$D$59</f>
        <v>45383</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347</v>
      </c>
      <c r="B41" s="78"/>
      <c r="C41" s="78"/>
      <c r="D41" s="100">
        <f>IF($D$17&lt;0,0,$D$17)</f>
        <v>0</v>
      </c>
      <c r="E41" s="101" t="s">
        <v>41</v>
      </c>
      <c r="F41" s="102" t="s">
        <v>8</v>
      </c>
      <c r="G41" s="103"/>
      <c r="H41" s="103"/>
      <c r="I41" s="103">
        <f>'Rider Rates'!$B$70</f>
        <v>8.6240000000000004E-4</v>
      </c>
      <c r="J41" s="103">
        <f t="shared" ref="J41" si="3">SUM(G41:I41)</f>
        <v>8.6240000000000004E-4</v>
      </c>
      <c r="K41" s="104" t="s">
        <v>42</v>
      </c>
      <c r="L41" s="105"/>
      <c r="M41" s="105"/>
      <c r="N41" s="105">
        <f>ROUND($D$41*'Rider Rates'!$B$70,2)</f>
        <v>0</v>
      </c>
      <c r="O41" s="250">
        <f t="shared" ref="O41" si="4">SUM(L41:N41)</f>
        <v>0</v>
      </c>
      <c r="P41" s="245">
        <f>'Rider Rates'!$D$70</f>
        <v>45532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95</v>
      </c>
      <c r="B42" s="78"/>
      <c r="C42" s="78"/>
      <c r="D42" s="100">
        <f>IF('Customer Info'!C35=TRUE,0,IF($D$17&lt;0,0,$D$17))</f>
        <v>0</v>
      </c>
      <c r="E42" s="101" t="s">
        <v>41</v>
      </c>
      <c r="F42" s="102" t="s">
        <v>8</v>
      </c>
      <c r="G42" s="103"/>
      <c r="H42" s="103"/>
      <c r="I42" s="103">
        <f>'Rider Rates'!$B$73+'Rider Rates'!$C$73</f>
        <v>0</v>
      </c>
      <c r="J42" s="103">
        <f t="shared" si="0"/>
        <v>0</v>
      </c>
      <c r="K42" s="104" t="s">
        <v>42</v>
      </c>
      <c r="L42" s="105"/>
      <c r="M42" s="105"/>
      <c r="N42" s="105">
        <f>ROUND($D$42*'Rider Rates'!$B$73,2)+ROUND($D$42*'Rider Rates'!$C$73,2)</f>
        <v>0</v>
      </c>
      <c r="O42" s="250">
        <f t="shared" si="2"/>
        <v>0</v>
      </c>
      <c r="P42" s="245">
        <f>'Rider Rates'!$D$73</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80</v>
      </c>
      <c r="B43" s="78"/>
      <c r="C43" s="78"/>
      <c r="D43" s="195">
        <f>$N$27</f>
        <v>10</v>
      </c>
      <c r="E43" s="101" t="s">
        <v>121</v>
      </c>
      <c r="F43" s="102" t="s">
        <v>8</v>
      </c>
      <c r="G43" s="111"/>
      <c r="H43" s="112"/>
      <c r="I43" s="120">
        <f>'Rider Rates'!$B$89</f>
        <v>2.9347000000000002E-2</v>
      </c>
      <c r="J43" s="120">
        <f>SUM(G43:I43)</f>
        <v>2.9347000000000002E-2</v>
      </c>
      <c r="K43" s="104"/>
      <c r="L43" s="105"/>
      <c r="M43" s="105"/>
      <c r="N43" s="105">
        <f>ROUND(D43*I43,2)</f>
        <v>0.28999999999999998</v>
      </c>
      <c r="O43" s="105">
        <f t="shared" si="2"/>
        <v>0.28999999999999998</v>
      </c>
      <c r="P43" s="245">
        <f>'Rider Rates'!$D$89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81</v>
      </c>
      <c r="B44" s="78"/>
      <c r="C44" s="78"/>
      <c r="D44" s="195">
        <f>$N$27</f>
        <v>10</v>
      </c>
      <c r="E44" s="101" t="s">
        <v>121</v>
      </c>
      <c r="F44" s="102" t="s">
        <v>8</v>
      </c>
      <c r="G44" s="114"/>
      <c r="H44" s="115"/>
      <c r="I44" s="120">
        <f>'Rider Rates'!$B$91</f>
        <v>6.6985699999999995E-2</v>
      </c>
      <c r="J44" s="120">
        <f t="shared" si="0"/>
        <v>6.6985699999999995E-2</v>
      </c>
      <c r="K44" s="104"/>
      <c r="L44" s="105"/>
      <c r="M44" s="105"/>
      <c r="N44" s="105">
        <f>ROUND(D44*I44,2)</f>
        <v>0.67</v>
      </c>
      <c r="O44" s="105">
        <f t="shared" si="2"/>
        <v>0.67</v>
      </c>
      <c r="P44" s="245">
        <f>'Rider Rates'!$D$91</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214</v>
      </c>
      <c r="B45" s="78"/>
      <c r="C45" s="78"/>
      <c r="D45" s="195"/>
      <c r="E45" s="113" t="s">
        <v>114</v>
      </c>
      <c r="F45" s="106"/>
      <c r="G45" s="114"/>
      <c r="H45" s="115"/>
      <c r="I45" s="196">
        <f>'Rider Rates'!$B$94</f>
        <v>1.42</v>
      </c>
      <c r="J45" s="196">
        <f>SUM(G45:I45)</f>
        <v>1.42</v>
      </c>
      <c r="K45" s="104"/>
      <c r="L45" s="105"/>
      <c r="M45" s="105"/>
      <c r="N45" s="105">
        <f>I45</f>
        <v>1.42</v>
      </c>
      <c r="O45" s="250">
        <f>SUM(L45:N45)</f>
        <v>1.42</v>
      </c>
      <c r="P45" s="245">
        <f>'Rider Rates'!$D$94</f>
        <v>45442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121</v>
      </c>
      <c r="F46" s="102" t="s">
        <v>8</v>
      </c>
      <c r="G46" s="114"/>
      <c r="H46" s="115"/>
      <c r="I46" s="120">
        <f>'Rider Rates'!$B$109</f>
        <v>0.211176</v>
      </c>
      <c r="J46" s="238">
        <f t="shared" si="0"/>
        <v>0.211176</v>
      </c>
      <c r="K46" s="104"/>
      <c r="L46" s="105"/>
      <c r="M46" s="105"/>
      <c r="N46" s="105">
        <f>ROUND(D46*I46,2)</f>
        <v>2.11</v>
      </c>
      <c r="O46" s="105">
        <f t="shared" si="2"/>
        <v>2.11</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Rates'!$B$112</f>
        <v>0</v>
      </c>
      <c r="J47" s="196">
        <f t="shared" ref="J47:J52" si="5">SUM(G47:I47)</f>
        <v>0</v>
      </c>
      <c r="K47" s="104"/>
      <c r="L47" s="105"/>
      <c r="M47" s="105"/>
      <c r="N47" s="105">
        <f>I47</f>
        <v>0</v>
      </c>
      <c r="O47" s="105">
        <f>SUM(L47:N47)</f>
        <v>0</v>
      </c>
      <c r="P47" s="245">
        <f>'Rider Rates'!$D$112</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Rates'!B125</f>
        <v>1.26</v>
      </c>
      <c r="J48" s="259">
        <f t="shared" si="5"/>
        <v>1.26</v>
      </c>
      <c r="K48" s="104"/>
      <c r="L48" s="105"/>
      <c r="M48" s="105"/>
      <c r="N48" s="260">
        <f>I48</f>
        <v>1.26</v>
      </c>
      <c r="O48" s="105">
        <f>SUM(L48:N48)</f>
        <v>1.26</v>
      </c>
      <c r="P48" s="245">
        <f>'Rider Rates'!D125</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216</v>
      </c>
      <c r="B49" s="78"/>
      <c r="C49" s="78"/>
      <c r="D49" s="100">
        <f>IF($D$17&lt;1,0,$D$17)</f>
        <v>0</v>
      </c>
      <c r="E49" s="101" t="s">
        <v>41</v>
      </c>
      <c r="F49" s="249" t="s">
        <v>8</v>
      </c>
      <c r="G49" s="103"/>
      <c r="H49" s="103"/>
      <c r="I49" s="103">
        <f>'Rider Rates'!$B$121</f>
        <v>-2.3000000000000001E-4</v>
      </c>
      <c r="J49" s="237">
        <f t="shared" si="5"/>
        <v>-2.3000000000000001E-4</v>
      </c>
      <c r="K49" s="104" t="s">
        <v>42</v>
      </c>
      <c r="L49" s="105"/>
      <c r="M49" s="105"/>
      <c r="N49" s="105">
        <f>D49*J49</f>
        <v>0</v>
      </c>
      <c r="O49" s="105">
        <f t="shared" si="2"/>
        <v>0</v>
      </c>
      <c r="P49" s="245">
        <f>'Rider Rates'!D121</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238</v>
      </c>
      <c r="B50" s="78"/>
      <c r="C50" s="78"/>
      <c r="D50" s="100"/>
      <c r="E50" s="101" t="s">
        <v>114</v>
      </c>
      <c r="F50" s="102" t="s">
        <v>8</v>
      </c>
      <c r="G50" s="263"/>
      <c r="H50" s="263"/>
      <c r="I50" s="263">
        <f>'Rider Rates'!$B$129</f>
        <v>0.1</v>
      </c>
      <c r="J50" s="263">
        <f t="shared" si="5"/>
        <v>0.1</v>
      </c>
      <c r="K50" s="104"/>
      <c r="L50" s="209"/>
      <c r="M50" s="209"/>
      <c r="N50" s="209">
        <f>J50</f>
        <v>0.1</v>
      </c>
      <c r="O50" s="209">
        <f>SUM(L50:N50)</f>
        <v>0.1</v>
      </c>
      <c r="P50" s="264">
        <f>'Rider Rates'!E129</f>
        <v>44927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250</v>
      </c>
      <c r="B51" s="78"/>
      <c r="C51" s="78"/>
      <c r="D51" s="100">
        <f>D17</f>
        <v>0</v>
      </c>
      <c r="E51" s="101" t="s">
        <v>41</v>
      </c>
      <c r="F51" s="249" t="s">
        <v>8</v>
      </c>
      <c r="G51" s="103"/>
      <c r="H51" s="103"/>
      <c r="I51" s="103">
        <f>'Rider Rates'!B134</f>
        <v>0</v>
      </c>
      <c r="J51" s="237">
        <f t="shared" si="5"/>
        <v>0</v>
      </c>
      <c r="K51" s="104" t="s">
        <v>42</v>
      </c>
      <c r="L51" s="105"/>
      <c r="M51" s="105"/>
      <c r="N51" s="105">
        <f>D51*J51</f>
        <v>0</v>
      </c>
      <c r="O51" s="105">
        <f>SUM(L51:N51)</f>
        <v>0</v>
      </c>
      <c r="P51" s="245">
        <f>'Rider Rates'!D134</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249</v>
      </c>
      <c r="B52" s="78"/>
      <c r="C52" s="78"/>
      <c r="D52" s="100"/>
      <c r="E52" s="101" t="s">
        <v>114</v>
      </c>
      <c r="F52" s="102" t="s">
        <v>8</v>
      </c>
      <c r="G52" s="263"/>
      <c r="H52" s="263"/>
      <c r="I52" s="263">
        <f>'Rider Rates'!$B$141</f>
        <v>0</v>
      </c>
      <c r="J52" s="263">
        <f t="shared" si="5"/>
        <v>0</v>
      </c>
      <c r="K52" s="104"/>
      <c r="L52" s="209"/>
      <c r="M52" s="209"/>
      <c r="N52" s="209">
        <f>J52</f>
        <v>0</v>
      </c>
      <c r="O52" s="209">
        <f>SUM(L52:N52)</f>
        <v>0</v>
      </c>
      <c r="P52" s="264">
        <f>'Rider Rates'!D141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251</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70</v>
      </c>
      <c r="B54" s="148"/>
      <c r="C54" s="148"/>
      <c r="D54" s="180"/>
      <c r="E54" s="181"/>
      <c r="F54" s="182"/>
      <c r="G54" s="182"/>
      <c r="H54" s="182"/>
      <c r="I54" s="182"/>
      <c r="J54" s="182"/>
      <c r="K54" s="183"/>
      <c r="L54" s="169">
        <f>SUM(L31:L53)</f>
        <v>0</v>
      </c>
      <c r="M54" s="169">
        <f>SUM(M31:M53)</f>
        <v>0</v>
      </c>
      <c r="N54" s="169">
        <f>SUM(N31:N53)</f>
        <v>7.2399999999999993</v>
      </c>
      <c r="O54" s="169">
        <f>SUM(O31:O53)</f>
        <v>7.2399999999999993</v>
      </c>
      <c r="P54" s="18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93</v>
      </c>
      <c r="B56" s="170"/>
      <c r="C56" s="170"/>
      <c r="D56" s="170"/>
      <c r="E56" s="170"/>
      <c r="F56" s="170"/>
      <c r="G56" s="170"/>
      <c r="H56" s="170"/>
      <c r="I56" s="170"/>
      <c r="J56" s="170"/>
      <c r="K56" s="170"/>
      <c r="L56" s="186">
        <f>L27+L54</f>
        <v>0</v>
      </c>
      <c r="M56" s="186">
        <f>M27+M54</f>
        <v>0</v>
      </c>
      <c r="N56" s="186">
        <f>N27+N54</f>
        <v>17.239999999999998</v>
      </c>
      <c r="O56" s="187">
        <f>O27+O54</f>
        <v>17.239999999999998</v>
      </c>
      <c r="P56" s="187"/>
      <c r="Q56" s="10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92</v>
      </c>
      <c r="B59" s="78"/>
      <c r="C59" s="78"/>
      <c r="D59" s="78"/>
      <c r="E59" s="78"/>
      <c r="F59" s="78"/>
      <c r="G59" s="78"/>
      <c r="H59" s="78"/>
      <c r="I59" s="78"/>
      <c r="J59" s="78"/>
      <c r="K59" s="78"/>
      <c r="L59" s="78"/>
      <c r="M59" s="78"/>
      <c r="N59" s="78"/>
      <c r="O59" s="109">
        <f>IF(D17&lt;0,MIN(O25,O56),O25)</f>
        <v>10</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116</v>
      </c>
      <c r="B61" s="151"/>
      <c r="C61" s="151"/>
      <c r="D61" s="151"/>
      <c r="E61" s="151"/>
      <c r="F61" s="151"/>
      <c r="G61" s="151"/>
      <c r="H61" s="151"/>
      <c r="I61" s="151"/>
      <c r="J61" s="151"/>
      <c r="K61" s="151"/>
      <c r="L61" s="151"/>
      <c r="M61" s="151"/>
      <c r="N61" s="151"/>
      <c r="O61" s="190">
        <f>IF($D$17&lt;0,O56,IF(O56&gt;O59,O56,O59))</f>
        <v>17.239999999999998</v>
      </c>
      <c r="P61" s="160"/>
      <c r="Q61" s="78"/>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51"/>
      <c r="C62" s="151"/>
      <c r="D62" s="151"/>
      <c r="E62" s="151"/>
      <c r="F62" s="151"/>
      <c r="G62" s="151"/>
      <c r="H62" s="151"/>
      <c r="I62" s="151"/>
      <c r="J62" s="151"/>
      <c r="K62" s="151"/>
      <c r="L62" s="151"/>
      <c r="M62" s="151"/>
      <c r="N62" s="151"/>
      <c r="O62" s="138"/>
      <c r="P62" s="160"/>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c r="B63" s="166"/>
      <c r="C63" s="166"/>
      <c r="D63" s="166"/>
      <c r="E63" s="166"/>
      <c r="F63" s="166"/>
      <c r="G63" s="166"/>
      <c r="H63" s="166"/>
      <c r="I63" s="166" t="s">
        <v>120</v>
      </c>
      <c r="J63" s="166"/>
      <c r="K63" s="166"/>
      <c r="L63" s="191"/>
      <c r="M63" s="191"/>
      <c r="N63" s="191"/>
      <c r="O63" s="191">
        <f>ROUND(IF($D$17&lt;1,0,O56/($D$17*100)*10000),2)</f>
        <v>0</v>
      </c>
      <c r="P63" s="37" t="s">
        <v>86</v>
      </c>
      <c r="Q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37"/>
      <c r="B64" s="78"/>
      <c r="C64" s="78"/>
      <c r="D64" s="78"/>
      <c r="E64" s="78"/>
      <c r="F64" s="78"/>
      <c r="G64" s="78"/>
      <c r="H64" s="192"/>
      <c r="I64" s="242" t="s">
        <v>198</v>
      </c>
      <c r="J64" s="78"/>
      <c r="K64" s="78"/>
      <c r="L64" s="78"/>
      <c r="M64" s="78"/>
      <c r="N64" s="78"/>
      <c r="O64" s="243">
        <f>ROUND(IF($D$17&lt;1,0,(L56)/($D$17*100)*10000),2)</f>
        <v>0</v>
      </c>
      <c r="P64" s="25" t="s">
        <v>86</v>
      </c>
      <c r="Q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1:221" x14ac:dyDescent="0.2">
      <c r="A65" s="99"/>
      <c r="B65" s="78"/>
      <c r="C65" s="78"/>
      <c r="D65" s="100"/>
      <c r="E65" s="101"/>
      <c r="F65" s="106"/>
      <c r="G65" s="133"/>
      <c r="H65" s="56"/>
      <c r="I65" s="133"/>
      <c r="J65" s="25"/>
      <c r="K65" s="25"/>
      <c r="L65" s="134"/>
      <c r="M65" s="134"/>
      <c r="N65" s="134"/>
      <c r="O65" s="135"/>
      <c r="Q65" s="80"/>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99"/>
      <c r="B66" s="78"/>
      <c r="C66" s="78"/>
      <c r="D66" s="100"/>
      <c r="E66" s="113"/>
      <c r="F66" s="106"/>
      <c r="Q66" s="80"/>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21" x14ac:dyDescent="0.2">
      <c r="A67" s="78"/>
      <c r="D67" s="1"/>
      <c r="E67" s="35"/>
      <c r="F67" s="106"/>
      <c r="Q67" s="80"/>
    </row>
    <row r="68" spans="1:221" x14ac:dyDescent="0.2">
      <c r="A68" s="96"/>
      <c r="D68" s="1"/>
      <c r="E68" s="35"/>
      <c r="F68" s="4"/>
      <c r="Q68" s="36"/>
    </row>
    <row r="69" spans="1:221" x14ac:dyDescent="0.2">
      <c r="A69" s="96"/>
      <c r="D69" s="1"/>
      <c r="E69" s="35"/>
      <c r="F69" s="4"/>
      <c r="Q69" s="36"/>
    </row>
    <row r="70" spans="1:221" x14ac:dyDescent="0.2">
      <c r="A70" s="41"/>
      <c r="B70" s="77"/>
      <c r="C70" s="77"/>
      <c r="D70" s="77"/>
      <c r="E70" s="77"/>
      <c r="F70" s="77"/>
    </row>
    <row r="71" spans="1:221" x14ac:dyDescent="0.2">
      <c r="B71" s="37"/>
      <c r="C71" s="37"/>
      <c r="D71" s="37"/>
      <c r="E71" s="37"/>
      <c r="F71" s="37"/>
      <c r="P71" s="37"/>
      <c r="Q71" s="37"/>
    </row>
    <row r="72" spans="1:221" x14ac:dyDescent="0.2">
      <c r="B72" s="37"/>
      <c r="C72" s="37"/>
      <c r="D72" s="37"/>
      <c r="E72" s="37"/>
      <c r="F72" s="37"/>
      <c r="P72" s="25"/>
      <c r="Q72" s="25"/>
    </row>
    <row r="75" spans="1:221" x14ac:dyDescent="0.2">
      <c r="A75" s="547"/>
    </row>
    <row r="76" spans="1:221" x14ac:dyDescent="0.2">
      <c r="A76" s="547"/>
    </row>
    <row r="77" spans="1:221" x14ac:dyDescent="0.2">
      <c r="A77" s="547"/>
    </row>
    <row r="78" spans="1:221" x14ac:dyDescent="0.2">
      <c r="A78" s="547"/>
    </row>
    <row r="79" spans="1:221" x14ac:dyDescent="0.2">
      <c r="A79" s="547"/>
    </row>
    <row r="80" spans="1:221"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sheetData>
  <sheetProtection algorithmName="SHA-512" hashValue="9dB9HB3xUbEq1aCDkAOmGD0B+/gVVd5HikVLVqiR7ipl7d/tLmamRCKpnad719CpSxTW8oy5g2x5y17DyDLY8g==" saltValue="s2ylpLs34QV+hNMROqYUJQ==" spinCount="100000" sheet="1" objects="1" scenarios="1"/>
  <mergeCells count="8">
    <mergeCell ref="A75:A89"/>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AC0E-47E3-4C21-9861-A1D167BA1B00}">
  <dimension ref="A1:IB94"/>
  <sheetViews>
    <sheetView showGridLines="0" topLeftCell="A13" zoomScale="80" zoomScaleNormal="80" workbookViewId="0">
      <selection activeCell="AE53" sqref="AE53"/>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49" t="s">
        <v>119</v>
      </c>
      <c r="B1" s="549"/>
      <c r="C1" s="549"/>
      <c r="D1" s="549"/>
      <c r="E1" s="549"/>
      <c r="F1" s="549"/>
      <c r="G1" s="549"/>
      <c r="H1" s="549"/>
      <c r="I1" s="549"/>
      <c r="J1" s="549"/>
      <c r="K1" s="549"/>
      <c r="L1" s="549"/>
      <c r="M1" s="549"/>
      <c r="N1" s="549"/>
      <c r="O1" s="549"/>
      <c r="P1" s="549"/>
      <c r="Q1" s="197"/>
    </row>
    <row r="2" spans="1:59" ht="20.25" x14ac:dyDescent="0.3">
      <c r="A2" s="549" t="s">
        <v>122</v>
      </c>
      <c r="B2" s="549"/>
      <c r="C2" s="549"/>
      <c r="D2" s="549"/>
      <c r="E2" s="549"/>
      <c r="F2" s="549"/>
      <c r="G2" s="549"/>
      <c r="H2" s="549"/>
      <c r="I2" s="549"/>
      <c r="J2" s="549"/>
      <c r="K2" s="549"/>
      <c r="L2" s="549"/>
      <c r="M2" s="549"/>
      <c r="N2" s="549"/>
      <c r="O2" s="549"/>
      <c r="P2" s="549"/>
    </row>
    <row r="3" spans="1:59" ht="18" x14ac:dyDescent="0.25">
      <c r="A3" s="565" t="s">
        <v>333</v>
      </c>
      <c r="B3" s="565"/>
      <c r="C3" s="565"/>
      <c r="D3" s="565"/>
      <c r="E3" s="565"/>
      <c r="F3" s="565"/>
      <c r="G3" s="565"/>
      <c r="H3" s="565"/>
      <c r="I3" s="565"/>
      <c r="J3" s="565"/>
      <c r="K3" s="565"/>
      <c r="L3" s="565"/>
      <c r="M3" s="565"/>
      <c r="N3" s="565"/>
      <c r="O3" s="565"/>
      <c r="P3" s="565"/>
      <c r="Q3" s="198"/>
    </row>
    <row r="4" spans="1:59"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c r="Q4" s="199"/>
    </row>
    <row r="5" spans="1:59" ht="15" x14ac:dyDescent="0.2">
      <c r="A5" s="75"/>
      <c r="B5" s="75"/>
      <c r="C5" s="75"/>
      <c r="D5" s="75"/>
      <c r="E5" s="75"/>
      <c r="F5" s="75"/>
      <c r="G5" s="75"/>
      <c r="H5" s="75"/>
      <c r="I5" s="75"/>
      <c r="J5" s="75"/>
      <c r="K5" s="75"/>
      <c r="L5" s="75"/>
      <c r="M5" s="75"/>
      <c r="N5" s="75"/>
      <c r="O5" s="75"/>
      <c r="P5" s="75"/>
      <c r="Q5" s="75"/>
    </row>
    <row r="6" spans="1:59" x14ac:dyDescent="0.2">
      <c r="A6" s="424">
        <f ca="1">TODAY()</f>
        <v>45532</v>
      </c>
      <c r="B6" s="557" t="s">
        <v>336</v>
      </c>
      <c r="C6" s="557"/>
      <c r="D6" s="557"/>
      <c r="E6" s="557"/>
      <c r="F6" s="557"/>
      <c r="G6" s="557"/>
      <c r="H6" s="557"/>
      <c r="I6" s="557"/>
      <c r="J6" s="557"/>
      <c r="K6" s="557"/>
      <c r="L6" s="557"/>
      <c r="M6" s="557"/>
      <c r="N6" s="557"/>
      <c r="O6" s="557"/>
    </row>
    <row r="7" spans="1:59" x14ac:dyDescent="0.2">
      <c r="A7" s="548" t="s">
        <v>15</v>
      </c>
      <c r="B7" s="548"/>
      <c r="C7" s="548"/>
      <c r="D7" s="548"/>
      <c r="E7" s="548"/>
      <c r="F7" s="548"/>
      <c r="G7" s="548"/>
      <c r="H7" s="548"/>
      <c r="I7" s="548"/>
      <c r="J7" s="548"/>
      <c r="K7" s="548"/>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9</v>
      </c>
      <c r="C11" s="194" t="str">
        <f>LOOKUP($B$11,$S$11:$AD$11,S12:AD12)</f>
        <v>September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425" t="s">
        <v>15</v>
      </c>
      <c r="H14" s="425"/>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229</v>
      </c>
      <c r="B17" s="78"/>
      <c r="D17" s="154">
        <f>IF('Customer Info'!B22&lt;0,0,'Customer Info'!B22)</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230</v>
      </c>
      <c r="B18" s="78"/>
      <c r="C18" s="154"/>
      <c r="D18" s="154">
        <f>IF('Customer Info'!B23&lt;0,0,'Customer Info'!B23)</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51</v>
      </c>
      <c r="B19" s="78"/>
      <c r="C19" s="154"/>
      <c r="D19" s="261">
        <f>D17+D18</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4" t="s">
        <v>67</v>
      </c>
      <c r="H23" s="555"/>
      <c r="I23" s="555"/>
      <c r="J23" s="556"/>
      <c r="K23" s="159"/>
      <c r="L23" s="551" t="s">
        <v>68</v>
      </c>
      <c r="M23" s="552"/>
      <c r="N23" s="552"/>
      <c r="O23" s="55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f>'Rider Rates'!B146</f>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417" t="s">
        <v>325</v>
      </c>
      <c r="B26" s="78"/>
      <c r="C26" s="78"/>
      <c r="D26" s="418">
        <f>D17</f>
        <v>0</v>
      </c>
      <c r="E26" s="78"/>
      <c r="F26" s="78"/>
      <c r="G26" s="162"/>
      <c r="H26" s="163"/>
      <c r="I26" s="165">
        <f>'Rider Rates'!C146</f>
        <v>3.7427700000000001E-2</v>
      </c>
      <c r="J26" s="165">
        <v>3.7427700000000001E-2</v>
      </c>
      <c r="K26" s="108" t="s">
        <v>91</v>
      </c>
      <c r="L26" s="105"/>
      <c r="M26" s="105"/>
      <c r="N26" s="105">
        <f>ROUND($D26*I26,2)</f>
        <v>0</v>
      </c>
      <c r="O26" s="250">
        <f>SUM(L26:N26)</f>
        <v>0</v>
      </c>
      <c r="P26" s="245">
        <f>'Rider Rates'!H146</f>
        <v>45444</v>
      </c>
      <c r="Q26" s="78"/>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417" t="s">
        <v>326</v>
      </c>
      <c r="B27" s="78"/>
      <c r="C27" s="78"/>
      <c r="D27" s="1">
        <f>D18</f>
        <v>0</v>
      </c>
      <c r="E27" s="101" t="s">
        <v>41</v>
      </c>
      <c r="F27" s="106" t="s">
        <v>8</v>
      </c>
      <c r="G27" s="247"/>
      <c r="H27" s="163"/>
      <c r="I27" s="165">
        <f>'Rider Rates'!D146</f>
        <v>1.5787499999999999E-2</v>
      </c>
      <c r="J27" s="103">
        <v>1.5787499999999999E-2</v>
      </c>
      <c r="K27" s="108" t="s">
        <v>91</v>
      </c>
      <c r="L27" s="105"/>
      <c r="M27" s="105"/>
      <c r="N27" s="105">
        <f>ROUND($D27*I27,2)</f>
        <v>0</v>
      </c>
      <c r="O27" s="250">
        <f t="shared" ref="O27" si="0">SUM(L27:N27)</f>
        <v>0</v>
      </c>
      <c r="P27" s="245">
        <f>'Rider Rates'!H146</f>
        <v>45444</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78</v>
      </c>
      <c r="B32" s="176"/>
      <c r="C32" s="176"/>
      <c r="D32" s="100">
        <f>IF($D$19&lt;0,0,IF($D$19&gt;833000,833000,$D$19))</f>
        <v>0</v>
      </c>
      <c r="E32" s="101" t="s">
        <v>41</v>
      </c>
      <c r="F32" s="102" t="s">
        <v>8</v>
      </c>
      <c r="G32" s="103"/>
      <c r="H32" s="103"/>
      <c r="I32" s="103">
        <f>'Rider Rates'!$B$4</f>
        <v>5.9216E-3</v>
      </c>
      <c r="J32" s="103">
        <f t="shared" ref="J32:J38" si="1">SUM(G32:I32)</f>
        <v>5.9216E-3</v>
      </c>
      <c r="K32" s="104" t="s">
        <v>42</v>
      </c>
      <c r="L32" s="105"/>
      <c r="M32" s="105"/>
      <c r="N32" s="105">
        <f t="shared" ref="N32:N37" si="2">ROUND(D32*I32,2)</f>
        <v>0</v>
      </c>
      <c r="O32" s="250">
        <f t="shared" ref="O32:O54" si="3">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79</v>
      </c>
      <c r="B33" s="78"/>
      <c r="C33" s="78"/>
      <c r="D33" s="123">
        <f>IF($D$19&gt;833000,$D$19-833000,0)</f>
        <v>0</v>
      </c>
      <c r="E33" s="101" t="s">
        <v>41</v>
      </c>
      <c r="F33" s="102" t="s">
        <v>8</v>
      </c>
      <c r="G33" s="103"/>
      <c r="H33" s="103"/>
      <c r="I33" s="103">
        <f>'Rider Rates'!$B$5</f>
        <v>1.7560000000000001E-4</v>
      </c>
      <c r="J33" s="103">
        <f t="shared" si="1"/>
        <v>1.7560000000000001E-4</v>
      </c>
      <c r="K33" s="104" t="s">
        <v>42</v>
      </c>
      <c r="L33" s="105"/>
      <c r="M33" s="105"/>
      <c r="N33" s="105">
        <f t="shared" si="2"/>
        <v>0</v>
      </c>
      <c r="O33" s="105">
        <f t="shared" si="3"/>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96</v>
      </c>
      <c r="B34" s="78"/>
      <c r="C34" s="78"/>
      <c r="D34" s="100">
        <f>IF($D$19&lt;0,0,IF($D$19&gt;2000,2000,$D$19))</f>
        <v>0</v>
      </c>
      <c r="E34" s="101" t="s">
        <v>41</v>
      </c>
      <c r="F34" s="102" t="s">
        <v>8</v>
      </c>
      <c r="G34" s="103"/>
      <c r="H34" s="103"/>
      <c r="I34" s="177">
        <f>'Rider Rates'!$B$8</f>
        <v>4.6499999999999996E-3</v>
      </c>
      <c r="J34" s="177">
        <f t="shared" si="1"/>
        <v>4.6499999999999996E-3</v>
      </c>
      <c r="K34" s="104" t="s">
        <v>42</v>
      </c>
      <c r="L34" s="105"/>
      <c r="M34" s="105"/>
      <c r="N34" s="105">
        <f t="shared" si="2"/>
        <v>0</v>
      </c>
      <c r="O34" s="105">
        <f t="shared" si="3"/>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97</v>
      </c>
      <c r="B35" s="78"/>
      <c r="C35" s="78"/>
      <c r="D35" s="100">
        <f>IF($D$19&lt;=2000,0,IF($D$19=0,0,IF($D$19-2000&gt;13000,13000,$D$19-2000)))</f>
        <v>0</v>
      </c>
      <c r="E35" s="101" t="s">
        <v>41</v>
      </c>
      <c r="F35" s="102" t="s">
        <v>8</v>
      </c>
      <c r="G35" s="103"/>
      <c r="H35" s="103"/>
      <c r="I35" s="177">
        <f>'Rider Rates'!$B$9</f>
        <v>4.1900000000000001E-3</v>
      </c>
      <c r="J35" s="177">
        <f t="shared" si="1"/>
        <v>4.1900000000000001E-3</v>
      </c>
      <c r="K35" s="104" t="s">
        <v>42</v>
      </c>
      <c r="L35" s="105"/>
      <c r="M35" s="105"/>
      <c r="N35" s="105">
        <f t="shared" si="2"/>
        <v>0</v>
      </c>
      <c r="O35" s="105">
        <f t="shared" si="3"/>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98</v>
      </c>
      <c r="B36" s="78"/>
      <c r="C36" s="78"/>
      <c r="D36" s="100">
        <f>IF($D$19=0,0,IF($D$19-15000&gt;=0,$D$19-15000,0))</f>
        <v>0</v>
      </c>
      <c r="E36" s="101" t="s">
        <v>41</v>
      </c>
      <c r="F36" s="102" t="s">
        <v>8</v>
      </c>
      <c r="G36" s="103"/>
      <c r="H36" s="103"/>
      <c r="I36" s="177">
        <f>'Rider Rates'!$B$10</f>
        <v>3.63E-3</v>
      </c>
      <c r="J36" s="177">
        <f t="shared" si="1"/>
        <v>3.63E-3</v>
      </c>
      <c r="K36" s="104" t="s">
        <v>42</v>
      </c>
      <c r="L36" s="105"/>
      <c r="M36" s="105"/>
      <c r="N36" s="105">
        <f t="shared" si="2"/>
        <v>0</v>
      </c>
      <c r="O36" s="105">
        <f t="shared" si="3"/>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IF($D$19&lt;0,0,$D$19)</f>
        <v>0</v>
      </c>
      <c r="E37" s="101" t="s">
        <v>41</v>
      </c>
      <c r="F37" s="102" t="s">
        <v>8</v>
      </c>
      <c r="G37" s="103"/>
      <c r="H37" s="103"/>
      <c r="I37" s="103">
        <f>'Rider Rates'!$B$15</f>
        <v>0</v>
      </c>
      <c r="J37" s="103">
        <f t="shared" si="1"/>
        <v>0</v>
      </c>
      <c r="K37" s="104" t="s">
        <v>42</v>
      </c>
      <c r="L37" s="105"/>
      <c r="M37" s="105"/>
      <c r="N37" s="105">
        <f t="shared" si="2"/>
        <v>0</v>
      </c>
      <c r="O37" s="105">
        <f t="shared" si="3"/>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245</v>
      </c>
      <c r="B38" s="78"/>
      <c r="C38" s="78"/>
      <c r="D38" s="195">
        <f>$N$28</f>
        <v>10</v>
      </c>
      <c r="E38" s="101" t="s">
        <v>121</v>
      </c>
      <c r="F38" s="102" t="s">
        <v>8</v>
      </c>
      <c r="G38" s="103"/>
      <c r="H38" s="103"/>
      <c r="I38" s="178">
        <f>'Rider Rates'!$B$18+'Rider Rates'!$E$18</f>
        <v>0</v>
      </c>
      <c r="J38" s="178">
        <f t="shared" si="1"/>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194</v>
      </c>
      <c r="B39" s="78"/>
      <c r="C39" s="78"/>
      <c r="D39" s="100">
        <f>'Customer Info'!$B$22+'Customer Info'!$B$23</f>
        <v>0</v>
      </c>
      <c r="E39" s="101" t="s">
        <v>41</v>
      </c>
      <c r="F39" s="102" t="s">
        <v>8</v>
      </c>
      <c r="G39" s="103"/>
      <c r="H39" s="103"/>
      <c r="I39" s="103"/>
      <c r="J39" s="237">
        <f>SUM(G39:H39)</f>
        <v>0</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161</v>
      </c>
      <c r="B40" s="78"/>
      <c r="C40" s="78"/>
      <c r="D40" s="100">
        <f>'Customer Info'!$B$22+'Customer Info'!$B$23</f>
        <v>0</v>
      </c>
      <c r="E40" s="101" t="s">
        <v>41</v>
      </c>
      <c r="F40" s="102" t="s">
        <v>8</v>
      </c>
      <c r="G40" s="103"/>
      <c r="H40" s="103"/>
      <c r="I40" s="103"/>
      <c r="J40" s="237">
        <f>SUM(G40:H40)</f>
        <v>0</v>
      </c>
      <c r="K40" s="104" t="s">
        <v>42</v>
      </c>
      <c r="L40" s="239">
        <f>ROUND($D$40*$G$40,2)</f>
        <v>0</v>
      </c>
      <c r="M40" s="105"/>
      <c r="N40" s="105"/>
      <c r="O40" s="105">
        <f>SUM(L40:N40)</f>
        <v>0</v>
      </c>
      <c r="P40" s="245">
        <f>'Rider Rates'!D34</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f>
        <v>0</v>
      </c>
      <c r="E41" s="101" t="s">
        <v>41</v>
      </c>
      <c r="F41" s="102" t="s">
        <v>8</v>
      </c>
      <c r="G41" s="103"/>
      <c r="H41" s="103"/>
      <c r="I41" s="103"/>
      <c r="J41" s="237">
        <f>SUM(G41:H41)</f>
        <v>0</v>
      </c>
      <c r="K41" s="104" t="s">
        <v>42</v>
      </c>
      <c r="L41" s="105">
        <f>ROUND(D41*G41,2)</f>
        <v>0</v>
      </c>
      <c r="M41" s="105"/>
      <c r="N41" s="105"/>
      <c r="O41" s="105">
        <f t="shared" si="3"/>
        <v>0</v>
      </c>
      <c r="P41" s="245">
        <f>'Rider Rates'!$D$49</f>
        <v>45471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IF($D$19&lt;0,0,$D$19)</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347</v>
      </c>
      <c r="B44" s="78"/>
      <c r="C44" s="78"/>
      <c r="D44" s="100">
        <f>IF($D$19&lt;0,0,$D$19)</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Info'!C35=TRUE,0,IF($D$19&lt;0,0,$D$19))</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3"/>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$N$28</f>
        <v>10</v>
      </c>
      <c r="E46" s="101" t="s">
        <v>121</v>
      </c>
      <c r="F46" s="102" t="s">
        <v>8</v>
      </c>
      <c r="G46" s="111"/>
      <c r="H46" s="112"/>
      <c r="I46" s="120">
        <f>'Rider Rates'!$B$89</f>
        <v>2.9347000000000002E-2</v>
      </c>
      <c r="J46" s="120">
        <f t="shared" si="4"/>
        <v>2.9347000000000002E-2</v>
      </c>
      <c r="K46" s="104"/>
      <c r="L46" s="105"/>
      <c r="M46" s="105"/>
      <c r="N46" s="105">
        <f>ROUND(D46*I46,2)</f>
        <v>0.28999999999999998</v>
      </c>
      <c r="O46" s="105">
        <f t="shared" si="3"/>
        <v>0.28999999999999998</v>
      </c>
      <c r="P46" s="245">
        <f>'Rider Rates'!$D$89</f>
        <v>45383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3"/>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1.42</v>
      </c>
      <c r="J48" s="196">
        <f t="shared" si="4"/>
        <v>1.42</v>
      </c>
      <c r="K48" s="104"/>
      <c r="L48" s="105"/>
      <c r="M48" s="105"/>
      <c r="N48" s="105">
        <f>I48</f>
        <v>1.42</v>
      </c>
      <c r="O48" s="250">
        <f>SUM(L48:N48)</f>
        <v>1.42</v>
      </c>
      <c r="P48" s="245">
        <f>'Rider Rates'!$D$94</f>
        <v>45442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247</v>
      </c>
      <c r="B49" s="78"/>
      <c r="C49" s="78"/>
      <c r="D49" s="100">
        <f>IF($D$19&lt;0,0,$D$19)</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$N$28</f>
        <v>10</v>
      </c>
      <c r="E50" s="101" t="s">
        <v>121</v>
      </c>
      <c r="F50" s="102" t="s">
        <v>8</v>
      </c>
      <c r="G50" s="114"/>
      <c r="H50" s="115"/>
      <c r="I50" s="120">
        <f>'Rider Rates'!$B$109</f>
        <v>0.211176</v>
      </c>
      <c r="J50" s="238">
        <f>SUM(G50:I50)</f>
        <v>0.211176</v>
      </c>
      <c r="K50" s="104"/>
      <c r="L50" s="105"/>
      <c r="M50" s="105"/>
      <c r="N50" s="105">
        <f>ROUND(D50*I50,2)</f>
        <v>2.11</v>
      </c>
      <c r="O50" s="105">
        <f t="shared" si="3"/>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1.26</v>
      </c>
      <c r="J52" s="259">
        <f>SUM(G52:I52)</f>
        <v>1.26</v>
      </c>
      <c r="K52" s="104"/>
      <c r="L52" s="105"/>
      <c r="M52" s="105"/>
      <c r="N52" s="260">
        <f>I52</f>
        <v>1.26</v>
      </c>
      <c r="O52" s="105">
        <f>SUM(L52:N52)</f>
        <v>1.26</v>
      </c>
      <c r="P52" s="245">
        <f>'Rider Rates'!D125</f>
        <v>45226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f>
        <v>0</v>
      </c>
      <c r="E53" s="101" t="s">
        <v>41</v>
      </c>
      <c r="F53" s="102" t="s">
        <v>8</v>
      </c>
      <c r="G53" s="103"/>
      <c r="H53" s="103"/>
      <c r="I53" s="103"/>
      <c r="J53" s="237">
        <f>SUM(G53:H53)</f>
        <v>0</v>
      </c>
      <c r="K53" s="104" t="s">
        <v>42</v>
      </c>
      <c r="L53" s="105">
        <f>ROUND(D53*G53,2)</f>
        <v>0</v>
      </c>
      <c r="M53" s="105"/>
      <c r="N53" s="105"/>
      <c r="O53" s="105">
        <f t="shared" si="3"/>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IF($D$19&lt;1,0,$D$19)</f>
        <v>0</v>
      </c>
      <c r="E54" s="101" t="s">
        <v>41</v>
      </c>
      <c r="F54" s="249" t="s">
        <v>8</v>
      </c>
      <c r="G54" s="103"/>
      <c r="H54" s="103"/>
      <c r="I54" s="103">
        <f>'Rider Rates'!$B$121</f>
        <v>-2.3000000000000001E-4</v>
      </c>
      <c r="J54" s="237">
        <f>SUM(G54:I54)</f>
        <v>-2.3000000000000001E-4</v>
      </c>
      <c r="K54" s="104" t="s">
        <v>42</v>
      </c>
      <c r="L54" s="105"/>
      <c r="M54" s="105"/>
      <c r="N54" s="105">
        <f>D54*J54</f>
        <v>0</v>
      </c>
      <c r="O54" s="105">
        <f t="shared" si="3"/>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SUM(L32:L58)</f>
        <v>0</v>
      </c>
      <c r="M59" s="169">
        <f>SUM(M32:M58)</f>
        <v>0</v>
      </c>
      <c r="N59" s="169">
        <f>SUM(N32:N58)</f>
        <v>7.2399999999999993</v>
      </c>
      <c r="O59" s="169">
        <f>SUM(O32:O58)</f>
        <v>7.2399999999999993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L28+L59</f>
        <v>0</v>
      </c>
      <c r="M61" s="186">
        <f>M28+M59</f>
        <v>0</v>
      </c>
      <c r="N61" s="186">
        <f>N28+N59</f>
        <v>17.239999999999998</v>
      </c>
      <c r="O61" s="187">
        <f>O28+O59</f>
        <v>17.239999999999998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17.239999999999998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ROUND(IF($D$19&lt;1,0,(L61)/($D$19*100)*10000),2)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row r="94" spans="1:1" x14ac:dyDescent="0.2">
      <c r="A94" s="547"/>
    </row>
  </sheetData>
  <sheetProtection algorithmName="SHA-512" hashValue="i+cvRCPVQTQNTsG6Ts0nEYjk7fgdHh2NQTKQdTDgp9pukBENV1z2FjiF9faUIPERNFedux/CDjK8qWwIA7Spaw==" saltValue="HV+eyVySah67XLmiHixD9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14018" r:id="rId5" name="Button 2">
              <controlPr defaultSize="0" print="0" autoFill="0" autoPict="0" macro="[0]!Info">
                <anchor moveWithCells="1">
                  <from>
                    <xdr:col>16</xdr:col>
                    <xdr:colOff>390525</xdr:colOff>
                    <xdr:row>83</xdr:row>
                    <xdr:rowOff>38100</xdr:rowOff>
                  </from>
                  <to>
                    <xdr:col>30</xdr:col>
                    <xdr:colOff>161925</xdr:colOff>
                    <xdr:row>84</xdr:row>
                    <xdr:rowOff>85725</xdr:rowOff>
                  </to>
                </anchor>
              </controlPr>
            </control>
          </mc:Choice>
        </mc:AlternateContent>
        <mc:AlternateContent xmlns:mc="http://schemas.openxmlformats.org/markup-compatibility/2006">
          <mc:Choice Requires="x14">
            <control shapeId="214019"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14020" r:id="rId7" name="Button 4">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IB63"/>
  <sheetViews>
    <sheetView showGridLines="0" topLeftCell="A8" zoomScale="80" zoomScaleNormal="80" workbookViewId="0">
      <selection activeCell="P36" sqref="P36"/>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c r="Q1" s="203"/>
    </row>
    <row r="2" spans="1:30" ht="20.25" x14ac:dyDescent="0.3">
      <c r="A2" s="565" t="s">
        <v>277</v>
      </c>
      <c r="B2" s="565"/>
      <c r="C2" s="565"/>
      <c r="D2" s="565"/>
      <c r="E2" s="565"/>
      <c r="F2" s="565"/>
      <c r="G2" s="565"/>
      <c r="H2" s="565"/>
      <c r="I2" s="565"/>
      <c r="J2" s="565"/>
      <c r="K2" s="565"/>
      <c r="L2" s="565"/>
      <c r="M2" s="565"/>
      <c r="N2" s="565"/>
      <c r="O2" s="565"/>
      <c r="P2" s="565"/>
      <c r="Q2" s="197"/>
    </row>
    <row r="3" spans="1:30" ht="18" x14ac:dyDescent="0.25">
      <c r="A3" s="550" t="s">
        <v>94</v>
      </c>
      <c r="B3" s="550"/>
      <c r="C3" s="550"/>
      <c r="D3" s="550"/>
      <c r="E3" s="550"/>
      <c r="F3" s="550"/>
      <c r="G3" s="550"/>
      <c r="H3" s="550"/>
      <c r="I3" s="550"/>
      <c r="J3" s="550"/>
      <c r="K3" s="550"/>
      <c r="L3" s="550"/>
      <c r="M3" s="550"/>
      <c r="N3" s="550"/>
      <c r="O3" s="550"/>
      <c r="P3" s="550"/>
      <c r="Q3" s="198"/>
    </row>
    <row r="4" spans="1:30" ht="15.75" x14ac:dyDescent="0.25">
      <c r="A4" s="550"/>
      <c r="B4" s="550"/>
      <c r="C4" s="550"/>
      <c r="D4" s="550"/>
      <c r="E4" s="550"/>
      <c r="F4" s="550"/>
      <c r="G4" s="550"/>
      <c r="H4" s="550"/>
      <c r="I4" s="550"/>
      <c r="J4" s="550"/>
      <c r="K4" s="550"/>
      <c r="L4" s="550"/>
      <c r="M4" s="550"/>
      <c r="N4" s="550"/>
      <c r="O4" s="550"/>
      <c r="P4" s="550"/>
      <c r="Q4" s="199"/>
    </row>
    <row r="5" spans="1:30" x14ac:dyDescent="0.2">
      <c r="A5" s="76">
        <f ca="1">TODAY()</f>
        <v>45532</v>
      </c>
      <c r="B5" s="557" t="s">
        <v>298</v>
      </c>
      <c r="C5" s="557"/>
      <c r="D5" s="557"/>
      <c r="E5" s="557"/>
      <c r="F5" s="557"/>
      <c r="G5" s="557"/>
      <c r="H5" s="557"/>
      <c r="I5" s="557"/>
      <c r="J5" s="557"/>
      <c r="K5" s="557"/>
      <c r="L5" s="557"/>
      <c r="M5" s="557"/>
      <c r="N5" s="557"/>
      <c r="O5" s="557"/>
    </row>
    <row r="6" spans="1:30" x14ac:dyDescent="0.2">
      <c r="A6" s="548" t="s">
        <v>15</v>
      </c>
      <c r="B6" s="548"/>
      <c r="C6" s="548"/>
      <c r="D6" s="548"/>
      <c r="E6" s="548"/>
      <c r="F6" s="548"/>
      <c r="G6" s="548"/>
      <c r="H6" s="548"/>
      <c r="I6" s="548"/>
      <c r="J6" s="548"/>
      <c r="K6" s="548"/>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9</v>
      </c>
      <c r="C10" s="194" t="str">
        <f>LOOKUP(B10,S11:AD11,S12:AD12)</f>
        <v>September</v>
      </c>
      <c r="D10" s="133">
        <f>'Customer Info'!C9</f>
        <v>2024</v>
      </c>
    </row>
    <row r="11" spans="1:30" x14ac:dyDescent="0.2">
      <c r="A11" s="559"/>
      <c r="B11" s="559"/>
      <c r="C11" s="559"/>
      <c r="D11" s="559"/>
      <c r="E11" s="559"/>
      <c r="F11" s="559"/>
      <c r="G11" s="559"/>
      <c r="H11" s="559"/>
      <c r="I11" s="559"/>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84</v>
      </c>
      <c r="B15" s="31"/>
      <c r="C15" s="212">
        <f>MAX('Customer Info'!B19,'Customer Info'!B20)</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165</v>
      </c>
      <c r="S16" s="222">
        <f>'Rider Rates'!$C$29</f>
        <v>4.4387999999999997E-3</v>
      </c>
      <c r="T16" s="222">
        <f>'Rider Rates'!$C$29</f>
        <v>4.4387999999999997E-3</v>
      </c>
      <c r="U16" s="222">
        <f>'Rider Rates'!$C$29</f>
        <v>4.4387999999999997E-3</v>
      </c>
      <c r="V16" s="222">
        <f>'Rider Rates'!$C$29</f>
        <v>4.4387999999999997E-3</v>
      </c>
      <c r="W16" s="222">
        <f>'Rider Rates'!$C$29</f>
        <v>4.4387999999999997E-3</v>
      </c>
      <c r="X16" s="222">
        <f>'Rider Rates'!$B$29</f>
        <v>4.4387999999999997E-3</v>
      </c>
      <c r="Y16" s="222">
        <f>'Rider Rates'!$B$29</f>
        <v>4.4387999999999997E-3</v>
      </c>
      <c r="Z16" s="222">
        <f>'Rider Rates'!$B$29</f>
        <v>4.4387999999999997E-3</v>
      </c>
      <c r="AA16" s="222">
        <f>'Rider Rates'!$B$29</f>
        <v>4.4387999999999997E-3</v>
      </c>
      <c r="AB16" s="222">
        <f>'Rider Rates'!$C$29</f>
        <v>4.4387999999999997E-3</v>
      </c>
      <c r="AC16" s="222">
        <f>'Rider Rates'!$C$29</f>
        <v>4.4387999999999997E-3</v>
      </c>
      <c r="AD16" s="222">
        <f>'Rider Rates'!$C$29</f>
        <v>4.4387999999999997E-3</v>
      </c>
    </row>
    <row r="17" spans="1:221" x14ac:dyDescent="0.2">
      <c r="A17" s="28" t="s">
        <v>124</v>
      </c>
      <c r="B17" s="22"/>
      <c r="C17" s="22"/>
      <c r="D17" s="22"/>
      <c r="E17" s="22"/>
      <c r="F17" s="22"/>
      <c r="G17" s="560" t="s">
        <v>67</v>
      </c>
      <c r="H17" s="561"/>
      <c r="I17" s="561"/>
      <c r="J17" s="562"/>
      <c r="K17" s="22"/>
      <c r="L17" s="563" t="s">
        <v>68</v>
      </c>
      <c r="M17" s="563"/>
      <c r="N17" s="563"/>
      <c r="O17" s="563"/>
      <c r="R17" t="s">
        <v>166</v>
      </c>
      <c r="S17" s="222">
        <f>'Rider Rates'!$C$30</f>
        <v>2.4020999999999999E-3</v>
      </c>
      <c r="T17" s="222">
        <f>'Rider Rates'!$C$30</f>
        <v>2.4020999999999999E-3</v>
      </c>
      <c r="U17" s="222">
        <f>'Rider Rates'!$C$30</f>
        <v>2.4020999999999999E-3</v>
      </c>
      <c r="V17" s="222">
        <f>'Rider Rates'!$C$30</f>
        <v>2.4020999999999999E-3</v>
      </c>
      <c r="W17" s="222">
        <f>'Rider Rates'!$C$30</f>
        <v>2.4020999999999999E-3</v>
      </c>
      <c r="X17" s="222">
        <f>'Rider Rates'!$B$30</f>
        <v>4.2166E-3</v>
      </c>
      <c r="Y17" s="222">
        <f>'Rider Rates'!$B$30</f>
        <v>4.2166E-3</v>
      </c>
      <c r="Z17" s="222">
        <f>'Rider Rates'!$B$30</f>
        <v>4.2166E-3</v>
      </c>
      <c r="AA17" s="222">
        <f>'Rider Rates'!$B$30</f>
        <v>4.2166E-3</v>
      </c>
      <c r="AB17" s="222">
        <f>'Rider Rates'!$C$30</f>
        <v>2.4020999999999999E-3</v>
      </c>
      <c r="AC17" s="222">
        <f>'Rider Rates'!$C$30</f>
        <v>2.4020999999999999E-3</v>
      </c>
      <c r="AD17" s="222">
        <f>'Rider Rates'!$C$30</f>
        <v>2.4020999999999999E-3</v>
      </c>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c r="R18" t="s">
        <v>167</v>
      </c>
      <c r="S18" s="222">
        <f>'Rider Rates'!$C$31</f>
        <v>2.8092999999999998E-3</v>
      </c>
      <c r="T18" s="222">
        <f>'Rider Rates'!$C$31</f>
        <v>2.8092999999999998E-3</v>
      </c>
      <c r="U18" s="222">
        <f>'Rider Rates'!$C$31</f>
        <v>2.8092999999999998E-3</v>
      </c>
      <c r="V18" s="222">
        <f>'Rider Rates'!$C$31</f>
        <v>2.8092999999999998E-3</v>
      </c>
      <c r="W18" s="222">
        <f>'Rider Rates'!$C$31</f>
        <v>2.8092999999999998E-3</v>
      </c>
      <c r="X18" s="222">
        <f>'Rider Rates'!$B$31</f>
        <v>3.9453999999999999E-3</v>
      </c>
      <c r="Y18" s="222">
        <f>'Rider Rates'!$B$31</f>
        <v>3.9453999999999999E-3</v>
      </c>
      <c r="Z18" s="222">
        <f>'Rider Rates'!$B$31</f>
        <v>3.9453999999999999E-3</v>
      </c>
      <c r="AA18" s="222">
        <f>'Rider Rates'!$B$31</f>
        <v>3.9453999999999999E-3</v>
      </c>
      <c r="AB18" s="222">
        <f>'Rider Rates'!$C$31</f>
        <v>2.8092999999999998E-3</v>
      </c>
      <c r="AC18" s="222">
        <f>'Rider Rates'!$C$31</f>
        <v>2.8092999999999998E-3</v>
      </c>
      <c r="AD18" s="222">
        <f>'Rider Rates'!$C$31</f>
        <v>2.8092999999999998E-3</v>
      </c>
    </row>
    <row r="19" spans="1:221" x14ac:dyDescent="0.2">
      <c r="A19" t="s">
        <v>32</v>
      </c>
      <c r="G19" s="83"/>
      <c r="H19" s="83"/>
      <c r="I19" s="125">
        <v>10</v>
      </c>
      <c r="J19" s="125">
        <f>SUM(G19:I19)</f>
        <v>10</v>
      </c>
      <c r="L19" s="125"/>
      <c r="M19" s="125"/>
      <c r="N19" s="125">
        <f>I19</f>
        <v>10</v>
      </c>
      <c r="O19" s="125">
        <f>+SUM(L19:N19)</f>
        <v>10</v>
      </c>
      <c r="P19" s="245">
        <v>44531</v>
      </c>
      <c r="R19" s="3" t="s">
        <v>199</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s="18" t="s">
        <v>254</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74</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IF($C$14&lt;0,0,IF($C$14&gt;833000,833000,$C$14))</f>
        <v>0</v>
      </c>
      <c r="E25" s="101" t="s">
        <v>41</v>
      </c>
      <c r="F25" s="102" t="s">
        <v>8</v>
      </c>
      <c r="G25" s="103"/>
      <c r="H25" s="103"/>
      <c r="I25" s="103">
        <f>'Rider Rates'!$B$4</f>
        <v>5.9216E-3</v>
      </c>
      <c r="J25" s="201">
        <f t="shared" ref="J25:J42" si="0">SUM(G25:I25)</f>
        <v>5.9216E-3</v>
      </c>
      <c r="K25" s="104" t="s">
        <v>42</v>
      </c>
      <c r="L25" s="105"/>
      <c r="M25" s="105"/>
      <c r="N25" s="105">
        <f t="shared" ref="N25:N30" si="1">ROUND(D25*I25,2)</f>
        <v>0</v>
      </c>
      <c r="O25" s="105">
        <f t="shared" ref="O25:O34"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113</v>
      </c>
      <c r="B30" s="78"/>
      <c r="C30" s="78"/>
      <c r="D30" s="195">
        <f>$N$21</f>
        <v>10</v>
      </c>
      <c r="E30" s="101" t="s">
        <v>121</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245</v>
      </c>
      <c r="B32" s="78"/>
      <c r="C32" s="78"/>
      <c r="D32" s="195">
        <f>$N$21</f>
        <v>10</v>
      </c>
      <c r="E32" s="101" t="s">
        <v>121</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218</v>
      </c>
      <c r="B33" s="78"/>
      <c r="C33" s="78"/>
      <c r="D33" s="100"/>
      <c r="E33" s="101" t="s">
        <v>114</v>
      </c>
      <c r="F33" s="102"/>
      <c r="G33" s="103"/>
      <c r="H33" s="103"/>
      <c r="I33" s="103">
        <f>'Rider Rates'!D52</f>
        <v>1.39</v>
      </c>
      <c r="J33" s="103">
        <f>SUM(G33:I33)</f>
        <v>1.39</v>
      </c>
      <c r="K33" s="104" t="s">
        <v>42</v>
      </c>
      <c r="L33" s="105"/>
      <c r="M33" s="105"/>
      <c r="N33" s="105">
        <f>J33</f>
        <v>1.39</v>
      </c>
      <c r="O33" s="105">
        <f>SUM(L33:N33)</f>
        <v>1.39</v>
      </c>
      <c r="P33" s="245">
        <f>'Rider Rates'!E52</f>
        <v>45474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197</v>
      </c>
      <c r="B34" s="78"/>
      <c r="C34" s="78"/>
      <c r="D34" s="100">
        <f>IF($C$14&lt;0,0,$C$14)</f>
        <v>0</v>
      </c>
      <c r="E34" s="113" t="s">
        <v>41</v>
      </c>
      <c r="F34" s="102" t="s">
        <v>8</v>
      </c>
      <c r="G34" s="103"/>
      <c r="H34" s="103">
        <f>'Rider Rates'!$B$59</f>
        <v>4.3837099999999997E-2</v>
      </c>
      <c r="I34" s="103"/>
      <c r="J34" s="103">
        <f>SUM(G34:I34)</f>
        <v>4.3837099999999997E-2</v>
      </c>
      <c r="K34" s="104" t="s">
        <v>42</v>
      </c>
      <c r="L34" s="105"/>
      <c r="M34" s="105">
        <f>ROUND(D34*H34,2)</f>
        <v>0</v>
      </c>
      <c r="N34" s="205"/>
      <c r="O34" s="105">
        <f t="shared" si="2"/>
        <v>0</v>
      </c>
      <c r="P34" s="245">
        <f>'Rider Rates'!$D$59</f>
        <v>45383</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347</v>
      </c>
      <c r="B35" s="78"/>
      <c r="C35" s="78"/>
      <c r="D35" s="100">
        <f>IF($C$14&lt;0,0,$C$14)</f>
        <v>0</v>
      </c>
      <c r="E35" s="101" t="s">
        <v>41</v>
      </c>
      <c r="F35" s="102" t="s">
        <v>8</v>
      </c>
      <c r="G35" s="103"/>
      <c r="H35" s="103"/>
      <c r="I35" s="103">
        <f>'Rider Rates'!$B$70</f>
        <v>8.6240000000000004E-4</v>
      </c>
      <c r="J35" s="103">
        <f t="shared" ref="J35" si="3">SUM(G35:I35)</f>
        <v>8.6240000000000004E-4</v>
      </c>
      <c r="K35" s="104" t="s">
        <v>42</v>
      </c>
      <c r="L35" s="105"/>
      <c r="M35" s="105"/>
      <c r="N35" s="105">
        <f>ROUND($D$35*'Rider Rates'!$B$70,2)</f>
        <v>0</v>
      </c>
      <c r="O35" s="105">
        <f t="shared" ref="O35" si="4">SUM(L35:N35)</f>
        <v>0</v>
      </c>
      <c r="P35" s="245">
        <f>'Rider Rates'!$D$70</f>
        <v>45532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95</v>
      </c>
      <c r="B36" s="78"/>
      <c r="C36" s="78"/>
      <c r="D36" s="100">
        <f>IF('Customer Info'!C35=TRUE,0,IF($C$14&lt;0,0,$C$14))</f>
        <v>0</v>
      </c>
      <c r="E36" s="101" t="s">
        <v>41</v>
      </c>
      <c r="F36" s="102" t="s">
        <v>8</v>
      </c>
      <c r="G36" s="103"/>
      <c r="H36" s="103"/>
      <c r="I36" s="103">
        <f>'Rider Rates'!$B$73+'Rider Rates'!$C$73</f>
        <v>0</v>
      </c>
      <c r="J36" s="103">
        <f t="shared" si="0"/>
        <v>0</v>
      </c>
      <c r="K36" s="104" t="s">
        <v>42</v>
      </c>
      <c r="L36" s="105"/>
      <c r="M36" s="105"/>
      <c r="N36" s="105">
        <f>ROUND($D$36*'Rider Rates'!$B$73,2)+ROUND($D$36*'Rider Rates'!$C$73,2)</f>
        <v>0</v>
      </c>
      <c r="O36" s="105">
        <f t="shared" ref="O36:O46" si="5">SUM(L36:N36)</f>
        <v>0</v>
      </c>
      <c r="P36" s="245">
        <f>'Rider Rates'!$D$73</f>
        <v>44531</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80</v>
      </c>
      <c r="B37" s="78"/>
      <c r="C37" s="78"/>
      <c r="D37" s="195">
        <f>$N$21</f>
        <v>10</v>
      </c>
      <c r="E37" s="101" t="s">
        <v>121</v>
      </c>
      <c r="F37" s="102" t="s">
        <v>8</v>
      </c>
      <c r="G37" s="111"/>
      <c r="H37" s="112"/>
      <c r="I37" s="120">
        <f>'Rider Rates'!$B$89</f>
        <v>2.9347000000000002E-2</v>
      </c>
      <c r="J37" s="120">
        <f t="shared" si="0"/>
        <v>2.9347000000000002E-2</v>
      </c>
      <c r="K37" s="104"/>
      <c r="L37" s="105"/>
      <c r="M37" s="105"/>
      <c r="N37" s="105">
        <f>ROUND(D37*I37,2)</f>
        <v>0.28999999999999998</v>
      </c>
      <c r="O37" s="105">
        <f t="shared" si="5"/>
        <v>0.28999999999999998</v>
      </c>
      <c r="P37" s="245">
        <f>'Rider Rates'!$D$89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81</v>
      </c>
      <c r="B38" s="78"/>
      <c r="C38" s="78"/>
      <c r="D38" s="195">
        <f>$N$21</f>
        <v>10</v>
      </c>
      <c r="E38" s="101" t="s">
        <v>121</v>
      </c>
      <c r="F38" s="102" t="s">
        <v>8</v>
      </c>
      <c r="G38" s="114"/>
      <c r="H38" s="115"/>
      <c r="I38" s="120">
        <f>'Rider Rates'!$B$91</f>
        <v>6.6985699999999995E-2</v>
      </c>
      <c r="J38" s="120">
        <f t="shared" si="0"/>
        <v>6.6985699999999995E-2</v>
      </c>
      <c r="K38" s="104"/>
      <c r="L38" s="105"/>
      <c r="M38" s="105"/>
      <c r="N38" s="105">
        <f>ROUND(D38*I38,2)</f>
        <v>0.67</v>
      </c>
      <c r="O38" s="105">
        <f t="shared" si="5"/>
        <v>0.67</v>
      </c>
      <c r="P38" s="245">
        <f>'Rider Rates'!$D$91</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214</v>
      </c>
      <c r="B39" s="78"/>
      <c r="C39" s="78"/>
      <c r="D39" s="195"/>
      <c r="E39" s="113" t="s">
        <v>114</v>
      </c>
      <c r="F39" s="106"/>
      <c r="G39" s="114"/>
      <c r="H39" s="115"/>
      <c r="I39" s="196">
        <f>'Rider Rates'!$B$94</f>
        <v>1.42</v>
      </c>
      <c r="J39" s="196">
        <f t="shared" si="0"/>
        <v>1.42</v>
      </c>
      <c r="K39" s="104"/>
      <c r="L39" s="105"/>
      <c r="M39" s="105"/>
      <c r="N39" s="105">
        <f>I39</f>
        <v>1.42</v>
      </c>
      <c r="O39" s="105">
        <f t="shared" si="5"/>
        <v>1.42</v>
      </c>
      <c r="P39" s="245">
        <f>'Rider Rates'!$D$94</f>
        <v>45442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121</v>
      </c>
      <c r="F40" s="102" t="s">
        <v>8</v>
      </c>
      <c r="G40" s="114"/>
      <c r="H40" s="115"/>
      <c r="I40" s="120">
        <f>'Rider Rates'!$B$109</f>
        <v>0.211176</v>
      </c>
      <c r="J40" s="120">
        <f t="shared" si="0"/>
        <v>0.211176</v>
      </c>
      <c r="K40" s="104"/>
      <c r="L40" s="105"/>
      <c r="M40" s="105"/>
      <c r="N40" s="105">
        <f>ROUND(D40*I40,2)</f>
        <v>2.11</v>
      </c>
      <c r="O40" s="105">
        <f t="shared" si="5"/>
        <v>2.11</v>
      </c>
      <c r="P40" s="245">
        <f>'Rider Rates'!$D$109</f>
        <v>45532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114</v>
      </c>
      <c r="F41" s="106"/>
      <c r="G41" s="114"/>
      <c r="H41" s="115"/>
      <c r="I41" s="196">
        <f>'Rider Rates'!$B$112</f>
        <v>0</v>
      </c>
      <c r="J41" s="196">
        <f t="shared" si="0"/>
        <v>0</v>
      </c>
      <c r="K41" s="104"/>
      <c r="L41" s="105"/>
      <c r="M41" s="105"/>
      <c r="N41" s="105">
        <f>I41</f>
        <v>0</v>
      </c>
      <c r="O41" s="105">
        <f t="shared" si="5"/>
        <v>0</v>
      </c>
      <c r="P41" s="245">
        <f>'Rider Rates'!$D$112</f>
        <v>44894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225</v>
      </c>
      <c r="B42" s="78"/>
      <c r="C42" s="78"/>
      <c r="D42" s="195"/>
      <c r="E42" s="113" t="s">
        <v>114</v>
      </c>
      <c r="F42" s="106"/>
      <c r="G42" s="114"/>
      <c r="H42" s="115"/>
      <c r="I42" s="258">
        <f>'Rider Rates'!B125</f>
        <v>1.26</v>
      </c>
      <c r="J42" s="196">
        <f t="shared" si="0"/>
        <v>1.26</v>
      </c>
      <c r="K42" s="104"/>
      <c r="L42" s="105"/>
      <c r="M42" s="105"/>
      <c r="N42" s="260">
        <f>I42</f>
        <v>1.26</v>
      </c>
      <c r="O42" s="105">
        <f t="shared" si="5"/>
        <v>1.26</v>
      </c>
      <c r="P42" s="245">
        <f>'Rider Rates'!D125</f>
        <v>45226</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216</v>
      </c>
      <c r="B43" s="78"/>
      <c r="C43" s="78"/>
      <c r="D43" s="100">
        <f>IF($C$14&lt;1,0,$C$14)</f>
        <v>0</v>
      </c>
      <c r="E43" s="101" t="s">
        <v>41</v>
      </c>
      <c r="F43" s="249" t="s">
        <v>8</v>
      </c>
      <c r="G43" s="103"/>
      <c r="H43" s="103"/>
      <c r="I43" s="237">
        <f>'Rider Rates'!$B$121</f>
        <v>-2.3000000000000001E-4</v>
      </c>
      <c r="J43" s="237">
        <f>SUM(G43:I43)</f>
        <v>-2.3000000000000001E-4</v>
      </c>
      <c r="K43" s="104" t="s">
        <v>42</v>
      </c>
      <c r="L43" s="105"/>
      <c r="M43" s="105"/>
      <c r="N43" s="105">
        <f>D43*J43</f>
        <v>0</v>
      </c>
      <c r="O43" s="105">
        <f t="shared" si="5"/>
        <v>0</v>
      </c>
      <c r="P43" s="245">
        <f>'Rider Rates'!D121</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238</v>
      </c>
      <c r="B44" s="78"/>
      <c r="C44" s="78"/>
      <c r="D44" s="100"/>
      <c r="E44" s="101" t="s">
        <v>114</v>
      </c>
      <c r="F44" s="102" t="s">
        <v>8</v>
      </c>
      <c r="G44" s="263"/>
      <c r="H44" s="263"/>
      <c r="I44" s="263">
        <f>'Rider Rates'!$B$129</f>
        <v>0.1</v>
      </c>
      <c r="J44" s="263">
        <f>SUM(G44:I44)</f>
        <v>0.1</v>
      </c>
      <c r="K44" s="104"/>
      <c r="L44" s="209"/>
      <c r="M44" s="209"/>
      <c r="N44" s="209">
        <f>J44</f>
        <v>0.1</v>
      </c>
      <c r="O44" s="209">
        <f t="shared" si="5"/>
        <v>0.1</v>
      </c>
      <c r="P44" s="264">
        <f>'Rider Rates'!$E$129</f>
        <v>44927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250</v>
      </c>
      <c r="B45" s="78"/>
      <c r="C45" s="78"/>
      <c r="D45" s="100">
        <f>C14</f>
        <v>0</v>
      </c>
      <c r="E45" s="101" t="s">
        <v>41</v>
      </c>
      <c r="F45" s="249" t="s">
        <v>8</v>
      </c>
      <c r="G45" s="103"/>
      <c r="H45" s="103"/>
      <c r="I45" s="103">
        <f>'Rider Rates'!$B$134</f>
        <v>0</v>
      </c>
      <c r="J45" s="237">
        <f>SUM(G45:I45)</f>
        <v>0</v>
      </c>
      <c r="K45" s="104" t="s">
        <v>42</v>
      </c>
      <c r="L45" s="105"/>
      <c r="M45" s="105"/>
      <c r="N45" s="105">
        <f>D45*J45</f>
        <v>0</v>
      </c>
      <c r="O45" s="105">
        <f t="shared" si="5"/>
        <v>0</v>
      </c>
      <c r="P45" s="245">
        <f>'Rider Rates'!D134</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249</v>
      </c>
      <c r="B46" s="78"/>
      <c r="C46" s="78"/>
      <c r="D46" s="100"/>
      <c r="E46" s="101" t="s">
        <v>114</v>
      </c>
      <c r="F46" s="102" t="s">
        <v>8</v>
      </c>
      <c r="G46" s="263"/>
      <c r="H46" s="263"/>
      <c r="I46" s="263">
        <f>'Rider Rates'!$B$141</f>
        <v>0</v>
      </c>
      <c r="J46" s="263">
        <f>SUM(G46:I46)</f>
        <v>0</v>
      </c>
      <c r="K46" s="104"/>
      <c r="L46" s="209"/>
      <c r="M46" s="209"/>
      <c r="N46" s="209">
        <f>J46</f>
        <v>0</v>
      </c>
      <c r="O46" s="209">
        <f t="shared" si="5"/>
        <v>0</v>
      </c>
      <c r="P46" s="264">
        <f>'Rider Rates'!$D$137</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251</v>
      </c>
      <c r="B47" s="78"/>
      <c r="C47" s="78"/>
      <c r="D47" s="100"/>
      <c r="E47" s="101"/>
      <c r="F47" s="102"/>
      <c r="G47" s="263"/>
      <c r="H47" s="263"/>
      <c r="I47" s="263"/>
      <c r="J47" s="263"/>
      <c r="K47" s="104"/>
      <c r="L47" s="209"/>
      <c r="M47" s="209"/>
      <c r="N47" s="209"/>
      <c r="O47" s="209"/>
      <c r="P47" s="264"/>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179" t="s">
        <v>70</v>
      </c>
      <c r="B48" s="148"/>
      <c r="C48" s="148"/>
      <c r="D48" s="180"/>
      <c r="E48" s="181"/>
      <c r="F48" s="182"/>
      <c r="G48" s="182"/>
      <c r="H48" s="182"/>
      <c r="I48" s="182"/>
      <c r="J48" s="182"/>
      <c r="K48" s="183"/>
      <c r="L48" s="169">
        <f>SUM(L25:L47)</f>
        <v>0</v>
      </c>
      <c r="M48" s="169">
        <f>SUM(M25:M47)</f>
        <v>0</v>
      </c>
      <c r="N48" s="169">
        <f>SUM(N25:N47)</f>
        <v>7.2399999999999993</v>
      </c>
      <c r="O48" s="169">
        <f>SUM(O25:O47)</f>
        <v>7.2399999999999993</v>
      </c>
      <c r="P48" s="184"/>
      <c r="Q48" s="106"/>
      <c r="R48" s="166"/>
      <c r="S48" s="166"/>
      <c r="T48" s="189"/>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c r="B49" s="78"/>
      <c r="C49" s="78"/>
      <c r="D49" s="100"/>
      <c r="E49" s="113"/>
      <c r="F49" s="106"/>
      <c r="G49" s="106"/>
      <c r="H49" s="106"/>
      <c r="I49" s="106"/>
      <c r="J49" s="107"/>
      <c r="K49" s="104"/>
      <c r="L49" s="106"/>
      <c r="M49" s="106"/>
      <c r="N49" s="106"/>
      <c r="O49" s="106"/>
      <c r="P49" s="164"/>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0"/>
      <c r="B50" s="170"/>
      <c r="C50" s="170"/>
      <c r="D50" s="170"/>
      <c r="E50" s="170"/>
      <c r="F50" s="170"/>
      <c r="G50" s="170"/>
      <c r="H50" s="170"/>
      <c r="I50" s="170"/>
      <c r="J50" s="170"/>
      <c r="K50" s="170"/>
      <c r="L50" s="186">
        <f>L21+L48</f>
        <v>0</v>
      </c>
      <c r="M50" s="186">
        <f>M21+M48</f>
        <v>0</v>
      </c>
      <c r="N50" s="186">
        <f>N21+N48</f>
        <v>17.239999999999998</v>
      </c>
      <c r="O50" s="187">
        <f>O21+O48</f>
        <v>17.239999999999998</v>
      </c>
      <c r="P50" s="187"/>
      <c r="Q50" s="10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78"/>
      <c r="E51" s="78"/>
      <c r="F51" s="78"/>
      <c r="G51" s="78"/>
      <c r="H51" s="78"/>
      <c r="I51" s="78"/>
      <c r="J51" s="78"/>
      <c r="K51" s="78"/>
      <c r="L51" s="78"/>
      <c r="M51" s="78"/>
      <c r="N51" s="151"/>
      <c r="O51" s="151"/>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66" t="s">
        <v>92</v>
      </c>
      <c r="B52" s="78"/>
      <c r="C52" s="78"/>
      <c r="D52" s="78"/>
      <c r="E52" s="78"/>
      <c r="F52" s="78"/>
      <c r="G52" s="78"/>
      <c r="H52" s="78"/>
      <c r="I52" s="78"/>
      <c r="J52" s="78"/>
      <c r="K52" s="78"/>
      <c r="L52" s="78"/>
      <c r="M52" s="78"/>
      <c r="N52" s="78"/>
      <c r="O52" s="109">
        <f>IF($C$14&lt;=0,MIN(O19,O50), O19)</f>
        <v>10</v>
      </c>
      <c r="P52" s="151"/>
      <c r="Q52" s="166"/>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166"/>
      <c r="C53" s="166"/>
      <c r="D53" s="166"/>
      <c r="E53" s="166"/>
      <c r="F53" s="166"/>
      <c r="G53" s="166"/>
      <c r="H53" s="166"/>
      <c r="I53" s="78"/>
      <c r="J53" s="78"/>
      <c r="K53" s="78"/>
      <c r="L53" s="78"/>
      <c r="M53" s="78"/>
      <c r="N53" s="151"/>
      <c r="O53" s="151"/>
      <c r="P53" s="151"/>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48" t="s">
        <v>116</v>
      </c>
      <c r="B54" s="151"/>
      <c r="C54" s="151"/>
      <c r="D54" s="151"/>
      <c r="E54" s="151"/>
      <c r="F54" s="151"/>
      <c r="G54" s="151"/>
      <c r="H54" s="151"/>
      <c r="I54" s="151"/>
      <c r="J54" s="151"/>
      <c r="K54" s="151"/>
      <c r="L54" s="151"/>
      <c r="M54" s="151"/>
      <c r="N54" s="151"/>
      <c r="O54" s="190">
        <f>IF($C$14&lt;0,O50,IF(O50&gt;O52,O50,I49))</f>
        <v>17.239999999999998</v>
      </c>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51"/>
      <c r="C55" s="151"/>
      <c r="D55" s="151"/>
      <c r="E55" s="151"/>
      <c r="F55" s="151"/>
      <c r="G55" s="151"/>
      <c r="H55" s="151"/>
      <c r="I55" s="151"/>
      <c r="J55" s="151"/>
      <c r="K55" s="151"/>
      <c r="L55" s="151"/>
      <c r="M55" s="151"/>
      <c r="N55" s="151"/>
      <c r="O55" s="138"/>
      <c r="P55" s="160"/>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166"/>
      <c r="C56" s="166"/>
      <c r="D56" s="166"/>
      <c r="E56" s="166"/>
      <c r="F56" s="166"/>
      <c r="G56" s="166"/>
      <c r="H56" s="166"/>
      <c r="I56" s="166" t="s">
        <v>120</v>
      </c>
      <c r="J56" s="166"/>
      <c r="K56" s="166"/>
      <c r="L56" s="191"/>
      <c r="M56" s="191"/>
      <c r="N56" s="191"/>
      <c r="O56" s="191">
        <f>ROUND(IF($C$14&lt;1,0,O50/($C$14*100)*10000),2)</f>
        <v>0</v>
      </c>
      <c r="P56" s="37" t="s">
        <v>86</v>
      </c>
      <c r="Q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row>
    <row r="57" spans="1:236" x14ac:dyDescent="0.2">
      <c r="A57" s="78"/>
      <c r="B57" s="78"/>
      <c r="C57" s="78"/>
      <c r="D57" s="78"/>
      <c r="E57" s="78"/>
      <c r="F57" s="78"/>
      <c r="G57" s="78"/>
      <c r="H57" s="192"/>
      <c r="I57" s="242" t="s">
        <v>198</v>
      </c>
      <c r="J57" s="78"/>
      <c r="K57" s="78"/>
      <c r="L57" s="78"/>
      <c r="M57" s="78"/>
      <c r="N57" s="78"/>
      <c r="O57" s="243">
        <f>ROUND(IF($C$14&lt;1,0,(L50)/($C$14*100)*10000),2)</f>
        <v>0</v>
      </c>
      <c r="P57" s="25" t="s">
        <v>86</v>
      </c>
      <c r="Q57" s="78"/>
      <c r="AE57" s="78"/>
      <c r="AF57" s="78"/>
      <c r="AG57" s="78"/>
      <c r="AH57" s="78"/>
      <c r="AI57" s="78"/>
      <c r="AJ57" s="78"/>
      <c r="AK57" s="78"/>
      <c r="AL57" s="78"/>
      <c r="AM57" s="78"/>
      <c r="AN57" s="78"/>
      <c r="AO57" s="78"/>
      <c r="AP57" s="78"/>
      <c r="AQ57" s="78"/>
      <c r="AR57" s="78"/>
      <c r="AS57" s="78"/>
      <c r="AT57" s="78"/>
      <c r="HE57" s="78"/>
      <c r="HF57" s="78"/>
      <c r="HG57" s="78"/>
      <c r="HH57" s="78"/>
      <c r="HI57" s="78"/>
      <c r="HJ57" s="78"/>
      <c r="HK57" s="78"/>
      <c r="HL57" s="78"/>
      <c r="HM57" s="78"/>
      <c r="HN57" s="78"/>
    </row>
    <row r="58" spans="1:236" x14ac:dyDescent="0.2">
      <c r="A58" s="78"/>
    </row>
    <row r="59" spans="1:236" x14ac:dyDescent="0.2">
      <c r="A59" s="78"/>
    </row>
    <row r="60" spans="1:236" x14ac:dyDescent="0.2">
      <c r="A60" s="78"/>
    </row>
    <row r="61" spans="1:236" x14ac:dyDescent="0.2">
      <c r="A61" s="78"/>
    </row>
    <row r="62" spans="1:236" x14ac:dyDescent="0.2">
      <c r="A62" s="78"/>
    </row>
    <row r="63" spans="1:236" x14ac:dyDescent="0.2">
      <c r="A63" s="78"/>
    </row>
  </sheetData>
  <sheetProtection algorithmName="SHA-512" hashValue="qbTCfGLt5NHlr2mFkDhE2s3MPRa6QXi++9MVMS81yIpQ1h+5D2YNN/8sHlWyTKn+5OobEZrd7Y/Lsclfpt3RlQ==" saltValue="P13FW7Bvxp3GSlMwNCMhG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1:IB61"/>
  <sheetViews>
    <sheetView showGridLines="0" topLeftCell="A18" zoomScale="80" zoomScaleNormal="80" workbookViewId="0">
      <selection activeCell="P24" sqref="P24"/>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280</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5"/>
      <c r="B5" s="75"/>
      <c r="C5" s="75"/>
      <c r="D5" s="75"/>
      <c r="E5" s="75"/>
      <c r="F5" s="75"/>
      <c r="G5" s="75"/>
      <c r="H5" s="75"/>
      <c r="I5" s="75"/>
      <c r="J5" s="75"/>
      <c r="K5" s="75"/>
    </row>
    <row r="6" spans="1:30" x14ac:dyDescent="0.2">
      <c r="A6" s="76">
        <f ca="1">TODAY()</f>
        <v>45532</v>
      </c>
      <c r="B6" s="210" t="s">
        <v>278</v>
      </c>
      <c r="C6" s="76"/>
      <c r="D6" s="76"/>
      <c r="E6" s="76"/>
      <c r="F6" s="76"/>
      <c r="G6" s="76"/>
      <c r="H6" s="76"/>
      <c r="I6" s="76"/>
    </row>
    <row r="7" spans="1:30" ht="26.25" x14ac:dyDescent="0.4">
      <c r="A7" s="566"/>
      <c r="B7" s="566"/>
      <c r="C7" s="566"/>
      <c r="D7" s="566"/>
      <c r="E7" s="566"/>
      <c r="F7" s="566"/>
      <c r="G7" s="566"/>
      <c r="H7" s="566"/>
      <c r="I7" s="566"/>
      <c r="J7" s="566"/>
      <c r="K7" s="566"/>
      <c r="L7" s="566"/>
      <c r="M7" s="566"/>
      <c r="N7" s="566"/>
      <c r="O7" s="566"/>
      <c r="P7" s="56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560" t="s">
        <v>67</v>
      </c>
      <c r="H19" s="561"/>
      <c r="I19" s="561"/>
      <c r="J19" s="562"/>
      <c r="K19" s="22"/>
      <c r="L19" s="563" t="s">
        <v>68</v>
      </c>
      <c r="M19" s="563"/>
      <c r="N19" s="563"/>
      <c r="O19" s="563"/>
    </row>
    <row r="20" spans="1:221" x14ac:dyDescent="0.2">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t="s">
        <v>72</v>
      </c>
      <c r="D22" s="1">
        <f>MAX(MIN($C$15,1000),-1000)</f>
        <v>0</v>
      </c>
      <c r="E22" s="35" t="s">
        <v>41</v>
      </c>
      <c r="F22" s="4" t="s">
        <v>8</v>
      </c>
      <c r="G22" s="84"/>
      <c r="H22" s="84"/>
      <c r="I22" s="84">
        <v>2.30262E-2</v>
      </c>
      <c r="J22" s="84">
        <f>SUM(G22:I22)</f>
        <v>2.30262E-2</v>
      </c>
      <c r="K22" s="36" t="s">
        <v>42</v>
      </c>
      <c r="L22" s="87"/>
      <c r="M22" s="87"/>
      <c r="N22" s="87">
        <f>IF(C15&lt;0,0,ROUND($D22*I22,2))</f>
        <v>0</v>
      </c>
      <c r="O22" s="209">
        <f>SUM(L22:N22)</f>
        <v>0</v>
      </c>
      <c r="P22" s="245">
        <v>45261</v>
      </c>
    </row>
    <row r="23" spans="1:221" x14ac:dyDescent="0.2">
      <c r="A23" t="s">
        <v>73</v>
      </c>
      <c r="D23" s="1">
        <f>IF($C$15&gt;0,MAX($C$15-1000,0),MIN($C$15+1000,0))</f>
        <v>0</v>
      </c>
      <c r="E23" s="35" t="s">
        <v>41</v>
      </c>
      <c r="F23" s="4" t="s">
        <v>8</v>
      </c>
      <c r="G23" s="84"/>
      <c r="H23" s="84"/>
      <c r="I23" s="84">
        <v>2.30262E-2</v>
      </c>
      <c r="J23" s="84">
        <f>SUM(G23:I23)</f>
        <v>2.30262E-2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69</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78</v>
      </c>
      <c r="B28" s="176"/>
      <c r="C28" s="176"/>
      <c r="D28" s="100">
        <f>IF($C$15&lt;0,0,IF($C$15&gt;833000,833000,$C$15))</f>
        <v>0</v>
      </c>
      <c r="E28" s="101" t="s">
        <v>41</v>
      </c>
      <c r="F28" s="102" t="s">
        <v>8</v>
      </c>
      <c r="G28" s="103"/>
      <c r="H28" s="103"/>
      <c r="I28" s="103">
        <f>'Rider Rates'!$B$4</f>
        <v>5.9216E-3</v>
      </c>
      <c r="J28" s="103">
        <f t="shared" ref="J28:J44" si="0">SUM(G28:I28)</f>
        <v>5.9216E-3</v>
      </c>
      <c r="K28" s="104" t="s">
        <v>42</v>
      </c>
      <c r="L28" s="105"/>
      <c r="M28" s="105"/>
      <c r="N28" s="105">
        <f t="shared" ref="N28:N33" si="1">ROUND(D28*I28,2)</f>
        <v>0</v>
      </c>
      <c r="O28" s="105">
        <f t="shared" ref="O28:O44" si="2">SUM(L28:N28)</f>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79</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45293</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96</v>
      </c>
      <c r="B30" s="78"/>
      <c r="C30" s="78"/>
      <c r="D30" s="100">
        <f>IF('Customer Info'!$C$33=TRUE,0,IF($C$15&lt;0,0,IF($C$15&gt;2000,2000,$C$15)))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97</v>
      </c>
      <c r="B31" s="78"/>
      <c r="C31" s="78"/>
      <c r="D31" s="100">
        <f>IF('Customer Info'!$C$33=TRUE,0,IF($C$15&lt;=2000,0,IF($C$15=0,0,IF($C$15-2000&gt;13000,13000,$C$15-2000))))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98</v>
      </c>
      <c r="B32" s="78"/>
      <c r="C32" s="78"/>
      <c r="D32" s="100">
        <f>IF('Customer Info'!$C$33=TRUE,0,IF($C$15=0,0,IF($C$15-15000&gt;=0,$C$15-15000,0)))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45197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245</v>
      </c>
      <c r="B34" s="78"/>
      <c r="C34" s="78"/>
      <c r="D34" s="195">
        <f>$N$24</f>
        <v>9.4</v>
      </c>
      <c r="E34" s="101" t="s">
        <v>121</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218</v>
      </c>
      <c r="B35" s="78"/>
      <c r="C35" s="78"/>
      <c r="D35" s="100">
        <f>IF($C$15&lt;0,0,IF($C$15&gt;833000,833000,$C$15))</f>
        <v>0</v>
      </c>
      <c r="E35" s="101" t="s">
        <v>41</v>
      </c>
      <c r="F35" s="102" t="s">
        <v>8</v>
      </c>
      <c r="G35" s="103"/>
      <c r="H35" s="103"/>
      <c r="I35" s="103">
        <f>'Rider Rates'!D53</f>
        <v>1.8006999999999999E-3</v>
      </c>
      <c r="J35" s="103">
        <f>SUM(G35:I35)</f>
        <v>1.8006999999999999E-3</v>
      </c>
      <c r="K35" s="104" t="s">
        <v>42</v>
      </c>
      <c r="L35" s="105"/>
      <c r="M35" s="105"/>
      <c r="N35" s="105">
        <f>D35*J35</f>
        <v>0</v>
      </c>
      <c r="O35" s="105">
        <f t="shared" si="2"/>
        <v>0</v>
      </c>
      <c r="P35" s="245">
        <f>'Rider Rates'!E53</f>
        <v>45474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197</v>
      </c>
      <c r="B36" s="78"/>
      <c r="C36" s="78"/>
      <c r="D36" s="100">
        <f>IF($C$15&lt;0,0,$C$15)</f>
        <v>0</v>
      </c>
      <c r="E36" s="113" t="s">
        <v>41</v>
      </c>
      <c r="F36" s="102" t="s">
        <v>8</v>
      </c>
      <c r="G36" s="103"/>
      <c r="H36" s="103">
        <f>'Rider Rates'!$B$60</f>
        <v>2.3467399999999999E-2</v>
      </c>
      <c r="I36" s="103"/>
      <c r="J36" s="103">
        <f>SUM(G36:I36)</f>
        <v>2.3467399999999999E-2</v>
      </c>
      <c r="K36" s="104" t="s">
        <v>42</v>
      </c>
      <c r="L36" s="105"/>
      <c r="M36" s="105">
        <f>ROUND(D36*H36,2)</f>
        <v>0</v>
      </c>
      <c r="N36" s="205"/>
      <c r="O36" s="105">
        <f t="shared" si="2"/>
        <v>0</v>
      </c>
      <c r="P36" s="245">
        <f>'Rider Rates'!$D$60</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95</v>
      </c>
      <c r="B37" s="78"/>
      <c r="C37" s="78"/>
      <c r="D37" s="100">
        <f>IF('Customer Info'!C35=TRUE,0,IF($C$15&lt;0,0,$C$15))</f>
        <v>0</v>
      </c>
      <c r="E37" s="101" t="s">
        <v>41</v>
      </c>
      <c r="F37" s="102" t="s">
        <v>8</v>
      </c>
      <c r="G37" s="103"/>
      <c r="H37" s="103"/>
      <c r="I37" s="103">
        <f>'Rider Rates'!$B$74+'Rider Rates'!$C$74</f>
        <v>0</v>
      </c>
      <c r="J37" s="103">
        <f t="shared" si="0"/>
        <v>0</v>
      </c>
      <c r="K37" s="104" t="s">
        <v>42</v>
      </c>
      <c r="L37" s="105"/>
      <c r="M37" s="105"/>
      <c r="N37" s="105">
        <f>ROUND($D$37*'Rider Rates'!$B$74,2)+ROUND($D$37*'Rider Rates'!$C$74,2)</f>
        <v>0</v>
      </c>
      <c r="O37" s="105">
        <f t="shared" si="2"/>
        <v>0</v>
      </c>
      <c r="P37" s="245">
        <f>'Rider Rates'!$D$74</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95</v>
      </c>
      <c r="B38" s="78"/>
      <c r="C38" s="78"/>
      <c r="D38" s="100"/>
      <c r="E38" s="101" t="s">
        <v>114</v>
      </c>
      <c r="F38" s="102"/>
      <c r="G38" s="103"/>
      <c r="H38" s="103"/>
      <c r="I38" s="196">
        <f>'Rider Rates'!$B$81</f>
        <v>0</v>
      </c>
      <c r="J38" s="196">
        <f>IF('Customer Info'!C35=TRUE,0,SUM(G38:I38))</f>
        <v>0</v>
      </c>
      <c r="K38" s="104"/>
      <c r="L38" s="105"/>
      <c r="M38" s="105"/>
      <c r="N38" s="105">
        <f>J38</f>
        <v>0</v>
      </c>
      <c r="O38" s="105">
        <f>SUM(L38:N38)</f>
        <v>0</v>
      </c>
      <c r="P38" s="245">
        <f>'Rider Rates'!$D$81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80</v>
      </c>
      <c r="B39" s="78"/>
      <c r="C39" s="78"/>
      <c r="D39" s="195">
        <f>$N$24</f>
        <v>9.4</v>
      </c>
      <c r="E39" s="101" t="s">
        <v>121</v>
      </c>
      <c r="F39" s="102" t="s">
        <v>8</v>
      </c>
      <c r="G39" s="111"/>
      <c r="H39" s="112"/>
      <c r="I39" s="120">
        <f>'Rider Rates'!$B$89</f>
        <v>2.9347000000000002E-2</v>
      </c>
      <c r="J39" s="120">
        <f t="shared" si="0"/>
        <v>2.9347000000000002E-2</v>
      </c>
      <c r="K39" s="104"/>
      <c r="L39" s="105"/>
      <c r="M39" s="105"/>
      <c r="N39" s="105">
        <f>ROUND(D39*I39,2)</f>
        <v>0.28000000000000003</v>
      </c>
      <c r="O39" s="105">
        <f t="shared" si="2"/>
        <v>0.28000000000000003</v>
      </c>
      <c r="P39" s="245">
        <f>'Rider Rates'!$D$89</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$N$24</f>
        <v>9.4</v>
      </c>
      <c r="E40" s="101" t="s">
        <v>121</v>
      </c>
      <c r="F40" s="102" t="s">
        <v>8</v>
      </c>
      <c r="G40" s="114"/>
      <c r="H40" s="115"/>
      <c r="I40" s="120">
        <f>'Rider Rates'!$B$91</f>
        <v>6.6985699999999995E-2</v>
      </c>
      <c r="J40" s="120">
        <f t="shared" si="0"/>
        <v>6.6985699999999995E-2</v>
      </c>
      <c r="K40" s="104"/>
      <c r="L40" s="105"/>
      <c r="M40" s="105"/>
      <c r="N40" s="105">
        <f>ROUND(D40*I40,2)</f>
        <v>0.63</v>
      </c>
      <c r="O40" s="105">
        <f t="shared" si="2"/>
        <v>0.63</v>
      </c>
      <c r="P40" s="245">
        <f>'Rider Rates'!$D$91</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214</v>
      </c>
      <c r="B41" s="78"/>
      <c r="C41" s="78"/>
      <c r="D41" s="195"/>
      <c r="E41" s="113" t="s">
        <v>114</v>
      </c>
      <c r="F41" s="106"/>
      <c r="G41" s="114"/>
      <c r="H41" s="115"/>
      <c r="I41" s="196">
        <f>'Rider Rates'!$B$95</f>
        <v>11.97</v>
      </c>
      <c r="J41" s="196">
        <f t="shared" si="0"/>
        <v>11.97</v>
      </c>
      <c r="K41" s="104"/>
      <c r="L41" s="105"/>
      <c r="M41" s="105"/>
      <c r="N41" s="105">
        <f>I41</f>
        <v>11.97</v>
      </c>
      <c r="O41" s="105">
        <f t="shared" si="2"/>
        <v>11.97</v>
      </c>
      <c r="P41" s="245">
        <f>'Rider Rates'!$D$95</f>
        <v>45442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121</v>
      </c>
      <c r="F42" s="102" t="s">
        <v>8</v>
      </c>
      <c r="G42" s="114"/>
      <c r="H42" s="115"/>
      <c r="I42" s="120">
        <f>'Rider Rates'!$B$109</f>
        <v>0.211176</v>
      </c>
      <c r="J42" s="120">
        <f t="shared" si="0"/>
        <v>0.211176</v>
      </c>
      <c r="K42" s="104"/>
      <c r="L42" s="105"/>
      <c r="M42" s="105"/>
      <c r="N42" s="105">
        <f>ROUND(D42*I42,2)</f>
        <v>1.99</v>
      </c>
      <c r="O42" s="105">
        <f t="shared" si="2"/>
        <v>1.99</v>
      </c>
      <c r="P42" s="245">
        <f>'Rider Rates'!$D$109</f>
        <v>45532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114</v>
      </c>
      <c r="F43" s="106"/>
      <c r="G43" s="114"/>
      <c r="H43" s="115"/>
      <c r="I43" s="196">
        <f>'Rider Rates'!$B$113</f>
        <v>0</v>
      </c>
      <c r="J43" s="196">
        <f t="shared" si="0"/>
        <v>0</v>
      </c>
      <c r="K43" s="104"/>
      <c r="L43" s="105"/>
      <c r="M43" s="105"/>
      <c r="N43" s="105">
        <f>I43</f>
        <v>0</v>
      </c>
      <c r="O43" s="105">
        <f t="shared" si="2"/>
        <v>0</v>
      </c>
      <c r="P43" s="245">
        <f>'Rider Rates'!$D$113</f>
        <v>44894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225</v>
      </c>
      <c r="B44" s="78"/>
      <c r="C44" s="78"/>
      <c r="D44" s="195"/>
      <c r="E44" s="113" t="s">
        <v>114</v>
      </c>
      <c r="F44" s="106"/>
      <c r="G44" s="114"/>
      <c r="H44" s="115"/>
      <c r="I44" s="258">
        <f>'Rider Rates'!B126</f>
        <v>5.83</v>
      </c>
      <c r="J44" s="196">
        <f t="shared" si="0"/>
        <v>5.83</v>
      </c>
      <c r="K44" s="104"/>
      <c r="L44" s="105"/>
      <c r="M44" s="105"/>
      <c r="N44" s="260">
        <f>I44</f>
        <v>5.83</v>
      </c>
      <c r="O44" s="105">
        <f t="shared" si="2"/>
        <v>5.83</v>
      </c>
      <c r="P44" s="245">
        <f>'Rider Rates'!D126</f>
        <v>45226</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216</v>
      </c>
      <c r="B45" s="78"/>
      <c r="C45" s="78"/>
      <c r="D45" s="100">
        <f>IF($C$15&lt;1,0,$C$15)</f>
        <v>0</v>
      </c>
      <c r="E45" s="101" t="s">
        <v>41</v>
      </c>
      <c r="F45" s="249" t="s">
        <v>8</v>
      </c>
      <c r="G45" s="165"/>
      <c r="H45" s="165"/>
      <c r="I45" s="251">
        <f>'Rider Rates'!B122</f>
        <v>-6.2E-4</v>
      </c>
      <c r="J45" s="251">
        <f>SUM(G45:I45)</f>
        <v>-6.2E-4</v>
      </c>
      <c r="K45" s="104" t="s">
        <v>42</v>
      </c>
      <c r="L45" s="105"/>
      <c r="M45" s="105"/>
      <c r="N45" s="105">
        <f>D45*J45</f>
        <v>0</v>
      </c>
      <c r="O45" s="105">
        <f>SUM(L45:N45)</f>
        <v>0</v>
      </c>
      <c r="P45" s="245">
        <f>'Rider Rates'!D122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241</v>
      </c>
      <c r="B46" s="78"/>
      <c r="C46" s="78"/>
      <c r="D46" s="100">
        <f>IF(C15&lt;0,0,IF(C15&gt;833000,833000,C15))</f>
        <v>0</v>
      </c>
      <c r="E46" s="101" t="s">
        <v>41</v>
      </c>
      <c r="F46" s="102" t="s">
        <v>8</v>
      </c>
      <c r="G46" s="265"/>
      <c r="H46" s="265"/>
      <c r="I46" s="265">
        <f>'Rider Rates'!B130</f>
        <v>2.9050000000000001E-4</v>
      </c>
      <c r="J46" s="265">
        <f>SUM(G46:I46)</f>
        <v>2.9050000000000001E-4</v>
      </c>
      <c r="K46" s="104" t="s">
        <v>42</v>
      </c>
      <c r="L46" s="266"/>
      <c r="M46" s="266"/>
      <c r="N46" s="266">
        <f>IF(D46*J46&gt;'Rider Rates'!$C$130,'Rider Rates'!$C$130,D46*J46)</f>
        <v>0</v>
      </c>
      <c r="O46" s="266">
        <f>SUM(L46:N46)</f>
        <v>0</v>
      </c>
      <c r="P46" s="264">
        <f>'Rider Rates'!$E$130</f>
        <v>45292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78" t="s">
        <v>242</v>
      </c>
      <c r="B47" s="78"/>
      <c r="C47" s="78"/>
      <c r="D47" s="123">
        <f>IF(C15&gt;833000,C15-833000,0)</f>
        <v>0</v>
      </c>
      <c r="E47" s="101" t="s">
        <v>41</v>
      </c>
      <c r="F47" s="102" t="s">
        <v>8</v>
      </c>
      <c r="G47" s="265"/>
      <c r="H47" s="265"/>
      <c r="I47" s="265">
        <f>'Rider Rates'!B131</f>
        <v>0</v>
      </c>
      <c r="J47" s="265">
        <f>SUM(G47:I47)</f>
        <v>0</v>
      </c>
      <c r="K47" s="104" t="s">
        <v>42</v>
      </c>
      <c r="L47" s="266"/>
      <c r="M47" s="266"/>
      <c r="N47" s="266">
        <f>D47*J47</f>
        <v>0</v>
      </c>
      <c r="O47" s="266">
        <f>SUM(L47:N47)</f>
        <v>0</v>
      </c>
      <c r="P47" s="264">
        <f>'Rider Rates'!$E$131</f>
        <v>44927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250</v>
      </c>
      <c r="B48" s="78"/>
      <c r="C48" s="78"/>
      <c r="D48" s="100">
        <f>C15</f>
        <v>0</v>
      </c>
      <c r="E48" s="101" t="s">
        <v>41</v>
      </c>
      <c r="F48" s="249" t="s">
        <v>8</v>
      </c>
      <c r="G48" s="103"/>
      <c r="H48" s="103"/>
      <c r="I48" s="103">
        <f>'Rider Rates'!$B$135</f>
        <v>0</v>
      </c>
      <c r="J48" s="237">
        <f>SUM(G48:I48)</f>
        <v>0</v>
      </c>
      <c r="K48" s="104" t="s">
        <v>42</v>
      </c>
      <c r="L48" s="105"/>
      <c r="M48" s="105"/>
      <c r="N48" s="105">
        <f>D48*J48</f>
        <v>0</v>
      </c>
      <c r="O48" s="105">
        <f>SUM(L48:N48)</f>
        <v>0</v>
      </c>
      <c r="P48" s="245">
        <f>'Rider Rates'!$D$135</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249</v>
      </c>
      <c r="B49" s="78"/>
      <c r="C49" s="78"/>
      <c r="D49" s="100"/>
      <c r="E49" s="101" t="s">
        <v>114</v>
      </c>
      <c r="F49" s="102" t="s">
        <v>8</v>
      </c>
      <c r="G49" s="263"/>
      <c r="H49" s="263"/>
      <c r="I49" s="263">
        <f>'Rider Rates'!$B$142</f>
        <v>0</v>
      </c>
      <c r="J49" s="263">
        <f>SUM(G49:I49)</f>
        <v>0</v>
      </c>
      <c r="K49" s="104"/>
      <c r="L49" s="209"/>
      <c r="M49" s="209"/>
      <c r="N49" s="209">
        <f>J49</f>
        <v>0</v>
      </c>
      <c r="O49" s="209">
        <f>SUM(L49:N49)</f>
        <v>0</v>
      </c>
      <c r="P49" s="264">
        <f>'Rider Rates'!D142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251</v>
      </c>
      <c r="B50" s="78"/>
      <c r="C50" s="78"/>
      <c r="D50" s="100"/>
      <c r="E50" s="101"/>
      <c r="F50" s="102"/>
      <c r="G50" s="263"/>
      <c r="H50" s="263"/>
      <c r="I50" s="263"/>
      <c r="J50" s="263"/>
      <c r="K50" s="104"/>
      <c r="L50" s="209"/>
      <c r="M50" s="209"/>
      <c r="N50" s="209"/>
      <c r="O50" s="209"/>
      <c r="P50" s="26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79" t="s">
        <v>70</v>
      </c>
      <c r="B51" s="148"/>
      <c r="C51" s="148"/>
      <c r="D51" s="180"/>
      <c r="E51" s="181"/>
      <c r="F51" s="182"/>
      <c r="G51" s="182"/>
      <c r="H51" s="182"/>
      <c r="I51" s="182"/>
      <c r="J51" s="182"/>
      <c r="K51" s="183"/>
      <c r="L51" s="169">
        <f>SUM(L28:L50)</f>
        <v>0</v>
      </c>
      <c r="M51" s="169">
        <f>SUM(M28:M50)</f>
        <v>0</v>
      </c>
      <c r="N51" s="169">
        <f>SUM(N28:N50)</f>
        <v>20.700000000000003</v>
      </c>
      <c r="O51" s="169">
        <f>SUM(O28:O50)</f>
        <v>20.700000000000003</v>
      </c>
      <c r="P51" s="18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78"/>
      <c r="C52" s="78"/>
      <c r="D52" s="100"/>
      <c r="E52" s="113"/>
      <c r="F52" s="106"/>
      <c r="G52" s="106"/>
      <c r="H52" s="106"/>
      <c r="I52" s="106"/>
      <c r="J52" s="107"/>
      <c r="K52" s="104"/>
      <c r="L52" s="106"/>
      <c r="M52" s="106"/>
      <c r="N52" s="106"/>
      <c r="O52" s="106"/>
      <c r="P52" s="1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85" t="s">
        <v>93</v>
      </c>
      <c r="B53" s="170"/>
      <c r="C53" s="170"/>
      <c r="D53" s="170"/>
      <c r="E53" s="170"/>
      <c r="F53" s="170"/>
      <c r="G53" s="170"/>
      <c r="H53" s="170"/>
      <c r="I53" s="170"/>
      <c r="J53" s="170"/>
      <c r="K53" s="170"/>
      <c r="L53" s="186">
        <f>L24+L51</f>
        <v>0</v>
      </c>
      <c r="M53" s="186">
        <f>M24+M51</f>
        <v>0</v>
      </c>
      <c r="N53" s="186">
        <f>N24+N51</f>
        <v>30.1</v>
      </c>
      <c r="O53" s="187">
        <f>O24+O51</f>
        <v>30.1</v>
      </c>
      <c r="P53" s="187"/>
      <c r="Q53" s="106"/>
      <c r="R53" s="188"/>
      <c r="S53" s="108"/>
      <c r="T53" s="109"/>
      <c r="U53" s="78"/>
      <c r="V53" s="10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92</v>
      </c>
      <c r="B56" s="78"/>
      <c r="C56" s="78"/>
      <c r="D56" s="78"/>
      <c r="E56" s="78"/>
      <c r="F56" s="78"/>
      <c r="G56" s="78"/>
      <c r="H56" s="78"/>
      <c r="I56" s="78"/>
      <c r="J56" s="78"/>
      <c r="K56" s="78"/>
      <c r="L56" s="78"/>
      <c r="M56" s="78"/>
      <c r="N56" s="78"/>
      <c r="O56" s="109">
        <f>O21+O51</f>
        <v>30.1</v>
      </c>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66" t="s">
        <v>15</v>
      </c>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116</v>
      </c>
      <c r="B58" s="151"/>
      <c r="C58" s="151"/>
      <c r="D58" s="151"/>
      <c r="E58" s="151"/>
      <c r="F58" s="151"/>
      <c r="G58" s="151"/>
      <c r="H58" s="151"/>
      <c r="I58" s="151"/>
      <c r="J58" s="151"/>
      <c r="K58" s="151"/>
      <c r="L58" s="151"/>
      <c r="M58" s="151"/>
      <c r="N58" s="151"/>
      <c r="O58" s="190">
        <f>IF($D$17&lt;0,O53,IF(O53&gt;O56,O53,O56))</f>
        <v>30.1</v>
      </c>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5" customHeight="1" x14ac:dyDescent="0.2">
      <c r="A59" s="148"/>
      <c r="B59" s="151"/>
      <c r="C59" s="151"/>
      <c r="D59" s="151"/>
      <c r="E59" s="151"/>
      <c r="F59" s="151"/>
      <c r="G59" s="151"/>
      <c r="H59" s="151"/>
      <c r="I59" s="151"/>
      <c r="J59" s="151"/>
      <c r="K59" s="151"/>
      <c r="L59" s="151"/>
      <c r="M59" s="151"/>
      <c r="N59" s="151"/>
      <c r="O59" s="190"/>
      <c r="P59" s="160"/>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row>
    <row r="60" spans="1:236" x14ac:dyDescent="0.2">
      <c r="A60" s="148"/>
      <c r="B60" s="166"/>
      <c r="C60" s="166"/>
      <c r="D60" s="166"/>
      <c r="E60" s="166"/>
      <c r="F60" s="166"/>
      <c r="G60" s="166"/>
      <c r="H60" s="166"/>
      <c r="I60" s="166" t="s">
        <v>120</v>
      </c>
      <c r="J60" s="166"/>
      <c r="K60" s="166"/>
      <c r="L60" s="191"/>
      <c r="M60" s="191"/>
      <c r="N60" s="191"/>
      <c r="O60" s="191">
        <f>ROUND(IF($C$15&lt;1,0,O53/($C$15*100)*10000),2)</f>
        <v>0</v>
      </c>
      <c r="P60" s="37" t="s">
        <v>86</v>
      </c>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HE60" s="78"/>
      <c r="HF60" s="78"/>
      <c r="HG60" s="78"/>
      <c r="HH60" s="78"/>
      <c r="HI60" s="78"/>
      <c r="HJ60" s="78"/>
      <c r="HK60" s="78"/>
      <c r="HL60" s="78"/>
      <c r="HM60" s="78"/>
      <c r="HN60" s="78"/>
    </row>
    <row r="61" spans="1:236" x14ac:dyDescent="0.2">
      <c r="B61" s="78"/>
      <c r="C61" s="78"/>
      <c r="D61" s="78"/>
      <c r="E61" s="78"/>
      <c r="F61" s="78"/>
      <c r="G61" s="78"/>
      <c r="H61" s="192"/>
      <c r="I61" s="242" t="s">
        <v>198</v>
      </c>
      <c r="J61" s="78"/>
      <c r="K61" s="78"/>
      <c r="L61" s="78"/>
      <c r="M61" s="78"/>
      <c r="N61" s="78"/>
      <c r="O61" s="243">
        <f>ROUND(IF($C$15&lt;1,0,(L53)/($C$15*100)*10000),2)</f>
        <v>0</v>
      </c>
      <c r="P61" s="25" t="s">
        <v>86</v>
      </c>
      <c r="Q61" s="78"/>
      <c r="R61" s="78"/>
      <c r="S61" s="78"/>
      <c r="T61" s="78"/>
      <c r="U61" s="78"/>
      <c r="V61" s="78"/>
      <c r="W61" s="78"/>
      <c r="X61" s="78"/>
      <c r="Y61" s="78"/>
      <c r="Z61" s="78"/>
      <c r="AA61" s="78"/>
      <c r="AB61" s="78"/>
      <c r="AC61" s="78"/>
      <c r="AD61" s="78"/>
      <c r="AE61" s="78"/>
      <c r="AF61" s="78"/>
      <c r="AG61" s="78"/>
      <c r="AH61" s="78"/>
      <c r="AI61" s="78"/>
      <c r="AJ61" s="78"/>
      <c r="AK61" s="78"/>
    </row>
  </sheetData>
  <sheetProtection algorithmName="SHA-512" hashValue="fum5o4SDrX8fNcjNCjHLasEYxlr4gVfFj0qIV3RVP4VuR2XOQ/Xu+Rso+ofhvYwTaluzEwEphBeQe+dwZ1cjzQ==" saltValue="uHlhYOV02UbYVrikz+mSu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190500</xdr:colOff>
                    <xdr:row>68</xdr:row>
                    <xdr:rowOff>47625</xdr:rowOff>
                  </from>
                  <to>
                    <xdr:col>15</xdr:col>
                    <xdr:colOff>542925</xdr:colOff>
                    <xdr:row>69</xdr:row>
                    <xdr:rowOff>104775</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D4EF-C824-4618-B7C6-265296DA30BF}">
  <sheetPr codeName="Sheet15"/>
  <dimension ref="A1:IB66"/>
  <sheetViews>
    <sheetView showGridLines="0" topLeftCell="A23" zoomScale="80" zoomScaleNormal="80" workbookViewId="0">
      <selection activeCell="O66" sqref="O66"/>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83</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5"/>
      <c r="B5" s="75"/>
      <c r="C5" s="75"/>
      <c r="D5" s="75"/>
      <c r="E5" s="75"/>
      <c r="F5" s="75"/>
      <c r="G5" s="75"/>
      <c r="H5" s="75"/>
      <c r="I5" s="75"/>
      <c r="J5" s="75"/>
      <c r="K5" s="75"/>
    </row>
    <row r="6" spans="1:30" x14ac:dyDescent="0.2">
      <c r="A6" s="406">
        <f ca="1">TODAY()</f>
        <v>45532</v>
      </c>
      <c r="B6" s="210" t="s">
        <v>237</v>
      </c>
      <c r="C6" s="406"/>
      <c r="D6" s="406"/>
      <c r="E6" s="406"/>
      <c r="F6" s="406"/>
      <c r="G6" s="406"/>
      <c r="H6" s="406"/>
      <c r="I6" s="406"/>
    </row>
    <row r="7" spans="1:30" ht="26.25" x14ac:dyDescent="0.4">
      <c r="A7" s="566"/>
      <c r="B7" s="566"/>
      <c r="C7" s="566"/>
      <c r="D7" s="566"/>
      <c r="E7" s="566"/>
      <c r="F7" s="566"/>
      <c r="G7" s="566"/>
      <c r="H7" s="566"/>
      <c r="I7" s="566"/>
      <c r="J7" s="566"/>
      <c r="K7" s="566"/>
      <c r="L7" s="566"/>
      <c r="M7" s="566"/>
      <c r="N7" s="566"/>
      <c r="O7" s="566"/>
      <c r="P7" s="566"/>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233</v>
      </c>
      <c r="B16" s="31"/>
      <c r="C16" s="32">
        <f>'Customer Info'!B22</f>
        <v>0</v>
      </c>
      <c r="D16" s="31" t="s">
        <v>41</v>
      </c>
      <c r="E16" s="31"/>
      <c r="F16" s="33"/>
      <c r="G16" s="23" t="s">
        <v>15</v>
      </c>
      <c r="H16" s="31"/>
    </row>
    <row r="17" spans="1:221" x14ac:dyDescent="0.2">
      <c r="A17" s="31" t="s">
        <v>234</v>
      </c>
      <c r="B17" s="31"/>
      <c r="C17" s="32">
        <f>'Customer Info'!B23</f>
        <v>0</v>
      </c>
      <c r="D17" s="262" t="s">
        <v>41</v>
      </c>
      <c r="E17" s="33"/>
      <c r="F17" s="33"/>
      <c r="G17" s="23" t="s">
        <v>15</v>
      </c>
      <c r="H17" s="31"/>
      <c r="I17" s="52" t="s">
        <v>15</v>
      </c>
    </row>
    <row r="19" spans="1:221" x14ac:dyDescent="0.2">
      <c r="A19" s="28" t="s">
        <v>31</v>
      </c>
      <c r="B19" s="22"/>
      <c r="C19" s="22"/>
      <c r="D19" s="22"/>
      <c r="E19" s="22"/>
      <c r="F19" s="22"/>
      <c r="G19" s="560" t="s">
        <v>67</v>
      </c>
      <c r="H19" s="561"/>
      <c r="I19" s="561"/>
      <c r="J19" s="562"/>
      <c r="K19" s="22"/>
      <c r="L19" s="563" t="s">
        <v>68</v>
      </c>
      <c r="M19" s="563"/>
      <c r="N19" s="563"/>
      <c r="O19" s="563"/>
    </row>
    <row r="20" spans="1:221" x14ac:dyDescent="0.2">
      <c r="A20" s="18"/>
      <c r="B20" s="18"/>
      <c r="C20" s="18"/>
      <c r="D20" s="18"/>
      <c r="E20" s="18"/>
      <c r="F20" s="18"/>
      <c r="G20" s="8" t="s">
        <v>64</v>
      </c>
      <c r="H20" s="8" t="s">
        <v>65</v>
      </c>
      <c r="I20" s="8" t="s">
        <v>66</v>
      </c>
      <c r="J20" s="112" t="s">
        <v>34</v>
      </c>
      <c r="K20" s="18"/>
      <c r="L20" s="407" t="s">
        <v>64</v>
      </c>
      <c r="M20" s="407" t="s">
        <v>65</v>
      </c>
      <c r="N20" s="407" t="s">
        <v>66</v>
      </c>
      <c r="O20" s="132" t="s">
        <v>34</v>
      </c>
      <c r="P20" s="43" t="s">
        <v>56</v>
      </c>
    </row>
    <row r="21" spans="1:221" x14ac:dyDescent="0.2">
      <c r="A21" t="s">
        <v>32</v>
      </c>
      <c r="G21" s="86"/>
      <c r="H21" s="86"/>
      <c r="I21" s="86">
        <v>9.4</v>
      </c>
      <c r="J21" s="86">
        <f>SUM(G21:I21)</f>
        <v>9.4</v>
      </c>
      <c r="L21" s="88"/>
      <c r="M21" s="88"/>
      <c r="N21" s="88">
        <f>I21</f>
        <v>9.4</v>
      </c>
      <c r="O21" s="209">
        <f>SUM(L21:N21)</f>
        <v>9.4</v>
      </c>
      <c r="P21" s="245">
        <v>44531</v>
      </c>
    </row>
    <row r="22" spans="1:221" x14ac:dyDescent="0.2">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194</v>
      </c>
      <c r="B34" s="78"/>
      <c r="C34" s="78"/>
      <c r="D34" s="100">
        <f>C16+C17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164</v>
      </c>
      <c r="B35" s="78"/>
      <c r="C35" s="78"/>
      <c r="D35" s="100">
        <f>C16</f>
        <v>0</v>
      </c>
      <c r="E35" s="101" t="s">
        <v>41</v>
      </c>
      <c r="F35" s="102" t="s">
        <v>8</v>
      </c>
      <c r="G35" s="103"/>
      <c r="H35" s="103"/>
      <c r="I35" s="103"/>
      <c r="J35" s="237">
        <f>SUM(G35:H35)</f>
        <v>0</v>
      </c>
      <c r="K35" s="104" t="s">
        <v>42</v>
      </c>
      <c r="L35" s="105"/>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227</v>
      </c>
      <c r="B36" s="78"/>
      <c r="C36" s="78"/>
      <c r="D36" s="100">
        <f>C17</f>
        <v>0</v>
      </c>
      <c r="E36" s="101" t="s">
        <v>41</v>
      </c>
      <c r="F36" s="249" t="s">
        <v>8</v>
      </c>
      <c r="G36" s="103"/>
      <c r="H36" s="103"/>
      <c r="I36" s="103"/>
      <c r="J36" s="237">
        <f>SUM(G36:H36)</f>
        <v>0</v>
      </c>
      <c r="K36" s="104" t="s">
        <v>42</v>
      </c>
      <c r="L36" s="105"/>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201</v>
      </c>
      <c r="B37" s="78"/>
      <c r="C37" s="78"/>
      <c r="D37" s="100">
        <f>C16+C17</f>
        <v>0</v>
      </c>
      <c r="E37" s="101" t="s">
        <v>41</v>
      </c>
      <c r="F37" s="102" t="s">
        <v>8</v>
      </c>
      <c r="G37" s="103"/>
      <c r="H37" s="103"/>
      <c r="I37" s="103"/>
      <c r="J37" s="237">
        <f>SUM(G37:H37)</f>
        <v>0</v>
      </c>
      <c r="K37" s="104" t="s">
        <v>42</v>
      </c>
      <c r="L37" s="105"/>
      <c r="M37" s="105"/>
      <c r="N37" s="105"/>
      <c r="O37" s="105">
        <f t="shared" si="2"/>
        <v>0</v>
      </c>
      <c r="P37" s="245">
        <f>'Rider Rates'!$D$49</f>
        <v>45471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80</v>
      </c>
      <c r="B42" s="78"/>
      <c r="C42" s="78"/>
      <c r="D42" s="195">
        <f>$N$23</f>
        <v>9.4</v>
      </c>
      <c r="E42" s="101" t="s">
        <v>121</v>
      </c>
      <c r="F42" s="102" t="s">
        <v>8</v>
      </c>
      <c r="G42" s="111"/>
      <c r="H42" s="112"/>
      <c r="I42" s="120">
        <f>'Rider Rates'!$B$89</f>
        <v>2.9347000000000002E-2</v>
      </c>
      <c r="J42" s="120">
        <f t="shared" si="0"/>
        <v>2.9347000000000002E-2</v>
      </c>
      <c r="K42" s="104"/>
      <c r="L42" s="105"/>
      <c r="M42" s="105"/>
      <c r="N42" s="105">
        <f>ROUND(D42*I42,2)</f>
        <v>0.28000000000000003</v>
      </c>
      <c r="O42" s="105">
        <f t="shared" si="2"/>
        <v>0.28000000000000003</v>
      </c>
      <c r="P42" s="245">
        <f>'Rider Rates'!$D$89</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214</v>
      </c>
      <c r="B44" s="78"/>
      <c r="C44" s="78"/>
      <c r="D44" s="195"/>
      <c r="E44" s="113" t="s">
        <v>114</v>
      </c>
      <c r="F44" s="106"/>
      <c r="G44" s="114"/>
      <c r="H44" s="115"/>
      <c r="I44" s="196">
        <f>'Rider Rates'!$B$95</f>
        <v>11.97</v>
      </c>
      <c r="J44" s="196">
        <f t="shared" si="0"/>
        <v>11.97</v>
      </c>
      <c r="K44" s="104"/>
      <c r="L44" s="105"/>
      <c r="M44" s="105"/>
      <c r="N44" s="105">
        <f>I44</f>
        <v>11.97</v>
      </c>
      <c r="O44" s="105">
        <f t="shared" si="2"/>
        <v>11.97</v>
      </c>
      <c r="P44" s="245">
        <f>'Rider Rates'!$D$95</f>
        <v>45442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121</v>
      </c>
      <c r="F46" s="102" t="s">
        <v>8</v>
      </c>
      <c r="G46" s="114"/>
      <c r="H46" s="115"/>
      <c r="I46" s="120">
        <f>'Rider Rates'!$B$109</f>
        <v>0.211176</v>
      </c>
      <c r="J46" s="120">
        <f t="shared" si="0"/>
        <v>0.211176</v>
      </c>
      <c r="K46" s="104"/>
      <c r="L46" s="105"/>
      <c r="M46" s="105"/>
      <c r="N46" s="105">
        <f>ROUND(D46*I46,2)</f>
        <v>1.99</v>
      </c>
      <c r="O46" s="105">
        <f t="shared" si="2"/>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225</v>
      </c>
      <c r="B48" s="78"/>
      <c r="C48" s="78"/>
      <c r="D48" s="195"/>
      <c r="E48" s="113" t="s">
        <v>114</v>
      </c>
      <c r="F48" s="106"/>
      <c r="G48" s="114"/>
      <c r="H48" s="115"/>
      <c r="I48" s="258">
        <f>'Rider Rates'!B126</f>
        <v>5.83</v>
      </c>
      <c r="J48" s="196">
        <f t="shared" si="0"/>
        <v>5.83</v>
      </c>
      <c r="K48" s="104"/>
      <c r="L48" s="105"/>
      <c r="M48" s="105"/>
      <c r="N48" s="260">
        <f>I48</f>
        <v>5.83</v>
      </c>
      <c r="O48" s="105">
        <f t="shared" si="2"/>
        <v>5.83</v>
      </c>
      <c r="P48" s="245">
        <f>'Rider Rates'!D126</f>
        <v>45226</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99" t="s">
        <v>157</v>
      </c>
      <c r="B49" s="78"/>
      <c r="C49" s="78"/>
      <c r="D49" s="100">
        <f>C16+C17</f>
        <v>0</v>
      </c>
      <c r="E49" s="101" t="s">
        <v>41</v>
      </c>
      <c r="F49" s="102" t="s">
        <v>8</v>
      </c>
      <c r="G49" s="103"/>
      <c r="H49" s="103"/>
      <c r="I49" s="120"/>
      <c r="J49" s="237">
        <f>SUM(G49:H49)</f>
        <v>0</v>
      </c>
      <c r="K49" s="104" t="s">
        <v>42</v>
      </c>
      <c r="L49" s="105"/>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79" t="s">
        <v>70</v>
      </c>
      <c r="B56" s="148"/>
      <c r="C56" s="148"/>
      <c r="D56" s="180"/>
      <c r="E56" s="181"/>
      <c r="F56" s="182"/>
      <c r="G56" s="182"/>
      <c r="H56" s="182"/>
      <c r="I56" s="182"/>
      <c r="J56" s="182"/>
      <c r="K56" s="183"/>
      <c r="L56" s="169">
        <f>SUM(L27:L55)</f>
        <v>0</v>
      </c>
      <c r="M56" s="169">
        <f>SUM(M27:M55)</f>
        <v>0</v>
      </c>
      <c r="N56" s="169">
        <f>SUM(N27:N55)</f>
        <v>20.700000000000003</v>
      </c>
      <c r="O56" s="169">
        <f>SUM(O27:O55)</f>
        <v>20.700000000000003</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85" t="s">
        <v>93</v>
      </c>
      <c r="B58" s="170"/>
      <c r="C58" s="170"/>
      <c r="D58" s="170"/>
      <c r="E58" s="170"/>
      <c r="F58" s="170"/>
      <c r="G58" s="170"/>
      <c r="H58" s="170"/>
      <c r="I58" s="170"/>
      <c r="J58" s="170"/>
      <c r="K58" s="170"/>
      <c r="L58" s="186">
        <f>L23+L56</f>
        <v>0</v>
      </c>
      <c r="M58" s="186">
        <f>M23+M56</f>
        <v>0</v>
      </c>
      <c r="N58" s="186">
        <f>N23+N56</f>
        <v>30.1</v>
      </c>
      <c r="O58" s="187">
        <f>O23+O56</f>
        <v>30.1</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92</v>
      </c>
      <c r="B61" s="78"/>
      <c r="C61" s="78"/>
      <c r="D61" s="78"/>
      <c r="E61" s="78"/>
      <c r="F61" s="78"/>
      <c r="G61" s="78"/>
      <c r="H61" s="78"/>
      <c r="I61" s="78"/>
      <c r="J61" s="78"/>
      <c r="K61" s="78"/>
      <c r="L61" s="78"/>
      <c r="M61" s="78"/>
      <c r="N61" s="78"/>
      <c r="O61" s="109">
        <f>O21+O56</f>
        <v>30.1</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
      <c r="A63" s="148" t="s">
        <v>116</v>
      </c>
      <c r="B63" s="151"/>
      <c r="C63" s="151"/>
      <c r="D63" s="151"/>
      <c r="E63" s="151"/>
      <c r="F63" s="151"/>
      <c r="G63" s="151"/>
      <c r="H63" s="151"/>
      <c r="I63" s="151"/>
      <c r="J63" s="151"/>
      <c r="K63" s="151"/>
      <c r="L63" s="151"/>
      <c r="M63" s="151"/>
      <c r="N63" s="151"/>
      <c r="O63" s="190">
        <f>IF($D$17&lt;0,O58,IF(O58&gt;O61,O58,O61))</f>
        <v>30.1</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vCWKfCyu3fAQMWO/vNVohk5dFoP5PNWu3agWcZWARFdF6RDHryaXAsvRNIAL3rR/QHpqzaLZB312Yf6sS1ocWg==" saltValue="+egFwjiKLzG8kwtzcVmO3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72034" r:id="rId5"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172035"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72036"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72037"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72038"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IV89"/>
  <sheetViews>
    <sheetView showGridLines="0" topLeftCell="A12" zoomScale="80" zoomScaleNormal="80" workbookViewId="0">
      <selection activeCell="D43" sqref="D43"/>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279</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282">
        <f ca="1">TODAY()</f>
        <v>45532</v>
      </c>
      <c r="B6" s="210" t="s">
        <v>299</v>
      </c>
      <c r="C6" s="282"/>
      <c r="D6" s="282"/>
      <c r="E6" s="282"/>
      <c r="F6" s="282"/>
      <c r="G6" s="282"/>
      <c r="H6" s="282"/>
      <c r="I6" s="282"/>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ROUND(C14*C20,1)</f>
        <v>0</v>
      </c>
      <c r="E14" s="29" t="s">
        <v>45</v>
      </c>
      <c r="F14" s="30"/>
      <c r="G14" s="29" t="s">
        <v>15</v>
      </c>
      <c r="I14" s="53" t="s">
        <v>15</v>
      </c>
      <c r="J14" s="29"/>
      <c r="K14" s="29"/>
      <c r="L14" s="29"/>
      <c r="M14" s="29"/>
      <c r="N14" s="29"/>
    </row>
    <row r="15" spans="1:256" x14ac:dyDescent="0.2">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
      <c r="A17" s="31" t="s">
        <v>293</v>
      </c>
      <c r="B17" s="31"/>
      <c r="C17" s="32">
        <f>'Customer Info'!$B$28</f>
        <v>0</v>
      </c>
      <c r="D17" s="32">
        <f>$C$17*$C$20</f>
        <v>0</v>
      </c>
      <c r="E17" s="31" t="s">
        <v>296</v>
      </c>
      <c r="F17" s="33"/>
      <c r="K17" s="31"/>
      <c r="L17" s="31"/>
      <c r="M17" s="31"/>
      <c r="N17" s="31"/>
    </row>
    <row r="18" spans="1:30" x14ac:dyDescent="0.2">
      <c r="A18" s="31" t="s">
        <v>294</v>
      </c>
      <c r="B18" s="31"/>
      <c r="C18" s="285">
        <f>IF('Customer Info'!$B$19=0,0,ROUND(MAX(ROUND('Customer Info'!$B$19*'GS SEC OAD'!C20,1),ROUND('Customer Info'!$B$20*'GS SEC OAD'!C20,1))/'Customer Info'!$D$30,1))</f>
        <v>0</v>
      </c>
      <c r="D18" s="285">
        <f>$C$18</f>
        <v>0</v>
      </c>
      <c r="E18" s="31" t="s">
        <v>297</v>
      </c>
      <c r="F18" s="33"/>
      <c r="K18" s="31"/>
      <c r="L18" s="31"/>
      <c r="M18" s="31"/>
      <c r="N18" s="31"/>
    </row>
    <row r="19" spans="1:30" x14ac:dyDescent="0.2">
      <c r="A19" s="31" t="s">
        <v>295</v>
      </c>
      <c r="B19" s="31"/>
      <c r="C19" s="32"/>
      <c r="D19" s="285">
        <f>MAX(100,ROUND(1.15*(MAX('Customer Info'!$B$19*'GS SEC OAD'!C20,'Customer Info'!$B$20*'GS SEC OAD'!C20)),1))</f>
        <v>100</v>
      </c>
      <c r="E19" s="31" t="s">
        <v>297</v>
      </c>
      <c r="F19" s="33"/>
      <c r="K19" s="31"/>
      <c r="L19" s="31"/>
      <c r="M19" s="31"/>
      <c r="N19" s="31"/>
    </row>
    <row r="20" spans="1:30" x14ac:dyDescent="0.2">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68" t="s">
        <v>15</v>
      </c>
      <c r="E21" s="568"/>
      <c r="F21" s="568"/>
      <c r="G21" s="568"/>
      <c r="H21" s="568"/>
      <c r="K21" s="31"/>
      <c r="L21" s="31"/>
      <c r="M21" s="31"/>
      <c r="N21" s="31"/>
      <c r="O21" s="50"/>
    </row>
    <row r="22" spans="1:30" x14ac:dyDescent="0.2">
      <c r="A22" s="31" t="s">
        <v>15</v>
      </c>
      <c r="B22" s="31"/>
      <c r="C22" s="82" t="s">
        <v>15</v>
      </c>
      <c r="D22" s="568" t="s">
        <v>15</v>
      </c>
      <c r="E22" s="568"/>
      <c r="F22" s="568"/>
      <c r="G22" s="568"/>
      <c r="H22" s="56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560" t="s">
        <v>67</v>
      </c>
      <c r="H24" s="561"/>
      <c r="I24" s="561"/>
      <c r="J24" s="562"/>
      <c r="K24" s="22"/>
      <c r="L24" s="563" t="s">
        <v>68</v>
      </c>
      <c r="M24" s="563"/>
      <c r="N24" s="563"/>
      <c r="O24" s="563"/>
    </row>
    <row r="25" spans="1:30" x14ac:dyDescent="0.2">
      <c r="A25" s="18"/>
      <c r="B25" s="18"/>
      <c r="C25" s="18"/>
      <c r="D25" s="18"/>
      <c r="E25" s="18"/>
      <c r="F25" s="18"/>
      <c r="G25" s="8" t="s">
        <v>64</v>
      </c>
      <c r="H25" s="8" t="s">
        <v>65</v>
      </c>
      <c r="I25" s="8" t="s">
        <v>66</v>
      </c>
      <c r="J25" s="112" t="s">
        <v>34</v>
      </c>
      <c r="K25" s="18"/>
      <c r="L25" s="283" t="s">
        <v>64</v>
      </c>
      <c r="M25" s="283" t="s">
        <v>65</v>
      </c>
      <c r="N25" s="283" t="s">
        <v>66</v>
      </c>
      <c r="O25" s="132" t="s">
        <v>34</v>
      </c>
      <c r="P25" s="43" t="s">
        <v>56</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Info'!B15-100)*0.6,('Customer Info'!B17-100)*0.6),1)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270</v>
      </c>
      <c r="D29" s="49">
        <f>IF(D18&lt;=100,0,ROUND(IF(D18-D19&gt;0,D18-D19),1))</f>
        <v>0</v>
      </c>
      <c r="E29" s="29" t="s">
        <v>268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69</v>
      </c>
      <c r="D32" s="1"/>
      <c r="E32" s="1"/>
      <c r="K32" s="36"/>
      <c r="L32" s="36"/>
      <c r="M32" s="36"/>
      <c r="N32" s="36"/>
      <c r="O32" s="34"/>
      <c r="P32" s="34"/>
    </row>
    <row r="33" spans="1:221" x14ac:dyDescent="0.2">
      <c r="A33" s="37"/>
      <c r="D33" s="1"/>
      <c r="E33" s="1"/>
      <c r="K33" s="36"/>
      <c r="L33" s="36"/>
      <c r="M33" s="36"/>
      <c r="N33" s="36"/>
      <c r="O33" s="34"/>
    </row>
    <row r="34" spans="1:221" x14ac:dyDescent="0.2">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245</v>
      </c>
      <c r="B39" s="78"/>
      <c r="C39" s="78"/>
      <c r="D39" s="208">
        <f>$N$30</f>
        <v>9.4</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218</v>
      </c>
      <c r="B40" s="78"/>
      <c r="C40" s="78"/>
      <c r="D40" s="1">
        <f>IF($C$16&lt;0,0,IF($C$16&gt;833000,833000,$C$16))</f>
        <v>0</v>
      </c>
      <c r="E40" s="101" t="s">
        <v>41</v>
      </c>
      <c r="F40" s="102" t="s">
        <v>8</v>
      </c>
      <c r="G40" s="103"/>
      <c r="H40" s="103"/>
      <c r="I40" s="103">
        <f>'Rider Rates'!D53</f>
        <v>1.8006999999999999E-3</v>
      </c>
      <c r="J40" s="103">
        <f>SUM(G40:I40)</f>
        <v>1.8006999999999999E-3</v>
      </c>
      <c r="K40" s="104" t="s">
        <v>42</v>
      </c>
      <c r="L40" s="105"/>
      <c r="M40" s="105"/>
      <c r="N40" s="87">
        <f>D40*J40</f>
        <v>0</v>
      </c>
      <c r="O40" s="105">
        <f t="shared" si="0"/>
        <v>0</v>
      </c>
      <c r="P40" s="245">
        <f>'Rider Rates'!E53</f>
        <v>45474</v>
      </c>
    </row>
    <row r="41" spans="1:221" x14ac:dyDescent="0.2">
      <c r="A41" s="210" t="s">
        <v>197</v>
      </c>
      <c r="B41" s="78"/>
      <c r="C41" s="78"/>
      <c r="D41" s="1">
        <f>IF($C$16&lt;0,0,$C$16)</f>
        <v>0</v>
      </c>
      <c r="E41" s="113" t="s">
        <v>41</v>
      </c>
      <c r="F41" s="102" t="s">
        <v>8</v>
      </c>
      <c r="G41" s="103"/>
      <c r="H41" s="103">
        <f>'Rider Rates'!$B$61</f>
        <v>6.0079999999999997E-4</v>
      </c>
      <c r="I41" s="103"/>
      <c r="J41" s="103">
        <f>SUM(G41:I41)</f>
        <v>6.0079999999999997E-4</v>
      </c>
      <c r="K41" s="104" t="s">
        <v>42</v>
      </c>
      <c r="L41" s="105"/>
      <c r="M41" s="105">
        <f>ROUND(D41*H41,2)</f>
        <v>0</v>
      </c>
      <c r="N41" s="205"/>
      <c r="O41" s="105">
        <f t="shared" si="0"/>
        <v>0</v>
      </c>
      <c r="P41" s="245">
        <f>'Rider Rates'!$D$61</f>
        <v>45383</v>
      </c>
    </row>
    <row r="42" spans="1:221" x14ac:dyDescent="0.2">
      <c r="A42" s="210" t="s">
        <v>197</v>
      </c>
      <c r="B42" s="78"/>
      <c r="C42" s="78"/>
      <c r="D42" s="49">
        <f>D14</f>
        <v>0</v>
      </c>
      <c r="E42" s="35" t="s">
        <v>63</v>
      </c>
      <c r="F42" s="4" t="s">
        <v>8</v>
      </c>
      <c r="G42" s="103"/>
      <c r="H42" s="239">
        <f>'Rider Rates'!$B$66</f>
        <v>6.73</v>
      </c>
      <c r="I42" s="103"/>
      <c r="J42" s="239">
        <f>SUM(G42:I42)</f>
        <v>6.73</v>
      </c>
      <c r="K42" s="104" t="s">
        <v>44</v>
      </c>
      <c r="L42" s="105"/>
      <c r="M42" s="105">
        <f>ROUND(D42*H42,2)</f>
        <v>0</v>
      </c>
      <c r="N42" s="205"/>
      <c r="O42" s="105">
        <f t="shared" si="0"/>
        <v>0</v>
      </c>
      <c r="P42" s="245">
        <f>'Rider Rates'!$D$66</f>
        <v>45383</v>
      </c>
    </row>
    <row r="43" spans="1:221" x14ac:dyDescent="0.2">
      <c r="A43" s="99" t="s">
        <v>82</v>
      </c>
      <c r="B43" s="78"/>
      <c r="C43" s="78"/>
      <c r="D43" s="1">
        <f>IF('Customer Info'!C35=TRUE,0,IF($C$16&lt;0,0,$C$16))</f>
        <v>0</v>
      </c>
      <c r="E43" s="101" t="s">
        <v>41</v>
      </c>
      <c r="F43" s="102" t="s">
        <v>8</v>
      </c>
      <c r="G43" s="103"/>
      <c r="H43" s="103"/>
      <c r="I43" s="103">
        <f>'Rider Rates'!$B$75+'Rider Rates'!$C$75</f>
        <v>0</v>
      </c>
      <c r="J43" s="103">
        <f>SUM(G43:I43)</f>
        <v>0</v>
      </c>
      <c r="K43" s="104" t="s">
        <v>42</v>
      </c>
      <c r="L43" s="105"/>
      <c r="M43" s="105"/>
      <c r="N43" s="87">
        <f>ROUND($D$43*'Rider Rates'!$B$75,2)+ROUND($D$43*'Rider Rates'!$C$75,2)</f>
        <v>0</v>
      </c>
      <c r="O43" s="209">
        <f t="shared" si="0"/>
        <v>0</v>
      </c>
      <c r="P43" s="245">
        <f>'Rider Rates'!$D$75</f>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82</v>
      </c>
      <c r="B44" s="78"/>
      <c r="C44" s="78"/>
      <c r="D44" s="49">
        <f>IF('Customer Info'!C35=TRUE,0,$D$28)</f>
        <v>0</v>
      </c>
      <c r="E44" s="101" t="s">
        <v>45</v>
      </c>
      <c r="F44" s="102" t="s">
        <v>8</v>
      </c>
      <c r="G44" s="103"/>
      <c r="H44" s="103"/>
      <c r="I44" s="239">
        <f>'Rider Rates'!$B$85</f>
        <v>0</v>
      </c>
      <c r="J44" s="239">
        <f>SUM(G44:I44)</f>
        <v>0</v>
      </c>
      <c r="K44" s="104" t="s">
        <v>42</v>
      </c>
      <c r="L44" s="105"/>
      <c r="M44" s="105"/>
      <c r="N44" s="87">
        <f>ROUND($D44*I44,2)</f>
        <v>0</v>
      </c>
      <c r="O44" s="209">
        <f>SUM(L44:N44)</f>
        <v>0</v>
      </c>
      <c r="P44" s="245">
        <f>'Rider Rates'!$D$85</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80</v>
      </c>
      <c r="B45" s="78"/>
      <c r="C45" s="78"/>
      <c r="D45" s="208">
        <f>$N$30</f>
        <v>9.4</v>
      </c>
      <c r="E45" s="101" t="s">
        <v>121</v>
      </c>
      <c r="F45" s="102" t="s">
        <v>8</v>
      </c>
      <c r="G45" s="111"/>
      <c r="H45" s="112"/>
      <c r="I45" s="120">
        <f>'Rider Rates'!$B$89</f>
        <v>2.9347000000000002E-2</v>
      </c>
      <c r="J45" s="120">
        <f>SUM(H45:I45)</f>
        <v>2.9347000000000002E-2</v>
      </c>
      <c r="K45" s="104"/>
      <c r="L45" s="105"/>
      <c r="M45" s="105"/>
      <c r="N45" s="105">
        <f>ROUND(N$30*I45,2)</f>
        <v>0.28000000000000003</v>
      </c>
      <c r="O45" s="209">
        <f t="shared" si="0"/>
        <v>0.28000000000000003</v>
      </c>
      <c r="P45" s="245">
        <f>'Rider Rates'!$D$89</f>
        <v>45383</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81</v>
      </c>
      <c r="B46" s="78"/>
      <c r="C46" s="78"/>
      <c r="D46" s="208">
        <f>$N$30</f>
        <v>9.4</v>
      </c>
      <c r="E46" s="101" t="s">
        <v>121</v>
      </c>
      <c r="F46" s="102" t="s">
        <v>8</v>
      </c>
      <c r="G46" s="114"/>
      <c r="H46" s="115"/>
      <c r="I46" s="120">
        <f>'Rider Rates'!$B$91</f>
        <v>6.6985699999999995E-2</v>
      </c>
      <c r="J46" s="120">
        <f>SUM(H46:I46)</f>
        <v>6.6985699999999995E-2</v>
      </c>
      <c r="K46" s="104"/>
      <c r="L46" s="105"/>
      <c r="M46" s="105"/>
      <c r="N46" s="105">
        <f>ROUND(N$30*I46,2)</f>
        <v>0.63</v>
      </c>
      <c r="O46" s="209">
        <f t="shared" si="0"/>
        <v>0.63</v>
      </c>
      <c r="P46" s="245">
        <f>'Rider Rates'!$D$91</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214</v>
      </c>
      <c r="B47" s="78"/>
      <c r="C47" s="78"/>
      <c r="D47" s="195"/>
      <c r="E47" s="113" t="s">
        <v>114</v>
      </c>
      <c r="F47" s="106"/>
      <c r="G47" s="114"/>
      <c r="H47" s="115"/>
      <c r="I47" s="196">
        <f>'Rider Rates'!$B$95</f>
        <v>11.97</v>
      </c>
      <c r="J47" s="196">
        <f>SUM(G47:I47)</f>
        <v>11.97</v>
      </c>
      <c r="K47" s="104"/>
      <c r="L47" s="105"/>
      <c r="M47" s="105"/>
      <c r="N47" s="105">
        <f>I47</f>
        <v>11.97</v>
      </c>
      <c r="O47" s="105">
        <f>SUM(L47:N47)</f>
        <v>11.97</v>
      </c>
      <c r="P47" s="245">
        <f>'Rider Rates'!$D$95</f>
        <v>45442</v>
      </c>
    </row>
    <row r="48" spans="1:221" x14ac:dyDescent="0.2">
      <c r="A48" s="99" t="s">
        <v>156</v>
      </c>
      <c r="B48" s="78"/>
      <c r="C48" s="78"/>
      <c r="D48" s="208">
        <f>$N$30</f>
        <v>9.4</v>
      </c>
      <c r="E48" s="101" t="s">
        <v>121</v>
      </c>
      <c r="F48" s="102" t="s">
        <v>8</v>
      </c>
      <c r="G48" s="114"/>
      <c r="H48" s="115"/>
      <c r="I48" s="120">
        <f>'Rider Rates'!$B$109</f>
        <v>0.211176</v>
      </c>
      <c r="J48" s="120">
        <f>SUM(H48:I48)</f>
        <v>0.211176</v>
      </c>
      <c r="K48" s="104"/>
      <c r="L48" s="105"/>
      <c r="M48" s="105"/>
      <c r="N48" s="105">
        <f>ROUND(N$30*I48,2)</f>
        <v>1.99</v>
      </c>
      <c r="O48" s="105">
        <f t="shared" si="0"/>
        <v>1.99</v>
      </c>
      <c r="P48" s="245">
        <f>'Rider Rates'!$D$109</f>
        <v>45532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114</v>
      </c>
      <c r="F49" s="106"/>
      <c r="G49" s="114"/>
      <c r="H49" s="115"/>
      <c r="I49" s="196">
        <f>'Rider Rates'!$B$113</f>
        <v>0</v>
      </c>
      <c r="J49" s="196">
        <f t="shared" ref="J49:J55" si="1">SUM(G49:I49)</f>
        <v>0</v>
      </c>
      <c r="K49" s="104"/>
      <c r="L49" s="105"/>
      <c r="M49" s="105"/>
      <c r="N49" s="105">
        <f>I49</f>
        <v>0</v>
      </c>
      <c r="O49" s="105">
        <f t="shared" ref="O49:O55" si="2">SUM(L49:N49)</f>
        <v>0</v>
      </c>
      <c r="P49" s="245">
        <f>'Rider Rates'!$D$113</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225</v>
      </c>
      <c r="B50" s="78"/>
      <c r="C50" s="78"/>
      <c r="D50" s="195"/>
      <c r="E50" s="113" t="s">
        <v>114</v>
      </c>
      <c r="F50" s="106"/>
      <c r="G50" s="114"/>
      <c r="H50" s="115"/>
      <c r="I50" s="258">
        <f>'Rider Rates'!B126</f>
        <v>5.83</v>
      </c>
      <c r="J50" s="196">
        <f t="shared" si="1"/>
        <v>5.83</v>
      </c>
      <c r="K50" s="104"/>
      <c r="L50" s="105"/>
      <c r="M50" s="105"/>
      <c r="N50" s="260">
        <f>I50</f>
        <v>5.83</v>
      </c>
      <c r="O50" s="105">
        <f t="shared" si="2"/>
        <v>5.83</v>
      </c>
      <c r="P50" s="245">
        <f>'Rider Rates'!D126</f>
        <v>45226</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216</v>
      </c>
      <c r="B51" s="78"/>
      <c r="C51" s="78"/>
      <c r="D51" s="1">
        <f>IF($C$16&lt;1,0,$C$16)</f>
        <v>0</v>
      </c>
      <c r="E51" s="101" t="s">
        <v>41</v>
      </c>
      <c r="F51" s="249" t="s">
        <v>8</v>
      </c>
      <c r="G51" s="165"/>
      <c r="H51" s="165"/>
      <c r="I51" s="251">
        <f>'Rider Rates'!B122</f>
        <v>-6.2E-4</v>
      </c>
      <c r="J51" s="251">
        <f t="shared" si="1"/>
        <v>-6.2E-4</v>
      </c>
      <c r="K51" s="104" t="s">
        <v>42</v>
      </c>
      <c r="L51" s="105"/>
      <c r="M51" s="105"/>
      <c r="N51" s="105">
        <f>D51*I51</f>
        <v>0</v>
      </c>
      <c r="O51" s="105">
        <f t="shared" si="2"/>
        <v>0</v>
      </c>
      <c r="P51" s="245">
        <f>'Rider Rates'!D122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241</v>
      </c>
      <c r="B52" s="78"/>
      <c r="C52" s="78"/>
      <c r="D52" s="100">
        <f>IF(C16&lt;0,0,IF(C16&gt;833000,833000,C16))</f>
        <v>0</v>
      </c>
      <c r="E52" s="101" t="s">
        <v>41</v>
      </c>
      <c r="F52" s="102" t="s">
        <v>8</v>
      </c>
      <c r="G52" s="265"/>
      <c r="H52" s="265"/>
      <c r="I52" s="265">
        <f>'Rider Rates'!$B$130</f>
        <v>2.9050000000000001E-4</v>
      </c>
      <c r="J52" s="265">
        <f t="shared" si="1"/>
        <v>2.9050000000000001E-4</v>
      </c>
      <c r="K52" s="104" t="s">
        <v>42</v>
      </c>
      <c r="L52" s="266"/>
      <c r="M52" s="266"/>
      <c r="N52" s="266">
        <f>IF(D52*J52&gt;'Rider Rates'!$C$130,'Rider Rates'!$C$130,D52*J52)</f>
        <v>0</v>
      </c>
      <c r="O52" s="266">
        <f t="shared" si="2"/>
        <v>0</v>
      </c>
      <c r="P52" s="264">
        <f>'Rider Rates'!$E$130</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78" t="s">
        <v>242</v>
      </c>
      <c r="B53" s="78"/>
      <c r="C53" s="78"/>
      <c r="D53" s="123">
        <f>IF(C16&gt;833000,C16-833000,0)</f>
        <v>0</v>
      </c>
      <c r="E53" s="101" t="s">
        <v>41</v>
      </c>
      <c r="F53" s="102" t="s">
        <v>8</v>
      </c>
      <c r="G53" s="265"/>
      <c r="H53" s="265"/>
      <c r="I53" s="265">
        <f>'Rider Rates'!$B$131</f>
        <v>0</v>
      </c>
      <c r="J53" s="265">
        <f t="shared" si="1"/>
        <v>0</v>
      </c>
      <c r="K53" s="104" t="s">
        <v>42</v>
      </c>
      <c r="L53" s="266"/>
      <c r="M53" s="266"/>
      <c r="N53" s="266">
        <f>D53*J53</f>
        <v>0</v>
      </c>
      <c r="O53" s="266">
        <f t="shared" si="2"/>
        <v>0</v>
      </c>
      <c r="P53" s="264">
        <f>'Rider Rates'!$E$131</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250</v>
      </c>
      <c r="B54" s="78"/>
      <c r="C54" s="78"/>
      <c r="D54" s="100">
        <f>D16</f>
        <v>0</v>
      </c>
      <c r="E54" s="101" t="s">
        <v>41</v>
      </c>
      <c r="F54" s="249" t="s">
        <v>8</v>
      </c>
      <c r="G54" s="103"/>
      <c r="H54" s="103"/>
      <c r="I54" s="103">
        <f>'Rider Rates'!$B$135</f>
        <v>0</v>
      </c>
      <c r="J54" s="237">
        <f t="shared" si="1"/>
        <v>0</v>
      </c>
      <c r="K54" s="104" t="s">
        <v>42</v>
      </c>
      <c r="L54" s="105"/>
      <c r="M54" s="105"/>
      <c r="N54" s="105">
        <f>D54*J54</f>
        <v>0</v>
      </c>
      <c r="O54" s="105">
        <f t="shared" si="2"/>
        <v>0</v>
      </c>
      <c r="P54" s="245">
        <f>'Rider Rates'!$D$135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249</v>
      </c>
      <c r="B55" s="78"/>
      <c r="C55" s="78"/>
      <c r="D55" s="100"/>
      <c r="E55" s="101" t="s">
        <v>114</v>
      </c>
      <c r="F55" s="102" t="s">
        <v>8</v>
      </c>
      <c r="G55" s="263"/>
      <c r="H55" s="263"/>
      <c r="I55" s="263">
        <f>'Rider Rates'!$B$142</f>
        <v>0</v>
      </c>
      <c r="J55" s="263">
        <f t="shared" si="1"/>
        <v>0</v>
      </c>
      <c r="K55" s="104"/>
      <c r="L55" s="209"/>
      <c r="M55" s="209"/>
      <c r="N55" s="209">
        <f>J55</f>
        <v>0</v>
      </c>
      <c r="O55" s="209">
        <f t="shared" si="2"/>
        <v>0</v>
      </c>
      <c r="P55" s="264">
        <f>'Rider Rates'!$D$142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251</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79" t="s">
        <v>70</v>
      </c>
      <c r="B57" s="148"/>
      <c r="C57" s="148"/>
      <c r="D57" s="180"/>
      <c r="E57" s="181"/>
      <c r="F57" s="182"/>
      <c r="G57" s="182"/>
      <c r="H57" s="182"/>
      <c r="I57" s="182"/>
      <c r="J57" s="182"/>
      <c r="K57" s="183"/>
      <c r="L57" s="169">
        <f>SUM(L34:L56)</f>
        <v>0</v>
      </c>
      <c r="M57" s="169">
        <f>SUM(M34:M56)</f>
        <v>0</v>
      </c>
      <c r="N57" s="169">
        <f>SUM(N34:N56)</f>
        <v>20.700000000000003</v>
      </c>
      <c r="O57" s="169">
        <f>SUM(O34:O56)</f>
        <v>20.700000000000003</v>
      </c>
      <c r="P57" s="184"/>
    </row>
    <row r="58" spans="1:221" x14ac:dyDescent="0.2">
      <c r="A58" s="37"/>
      <c r="D58" s="1"/>
      <c r="E58" s="35"/>
      <c r="F58" s="4"/>
      <c r="G58" s="42"/>
      <c r="H58" s="42"/>
      <c r="I58" s="42"/>
      <c r="J58" s="42"/>
      <c r="K58" s="36"/>
      <c r="L58" s="36"/>
      <c r="M58" s="36"/>
      <c r="N58" s="36"/>
      <c r="O58" s="34"/>
      <c r="P58" s="36"/>
    </row>
    <row r="59" spans="1:221" x14ac:dyDescent="0.2">
      <c r="A59" s="284" t="s">
        <v>71</v>
      </c>
      <c r="B59" s="92"/>
      <c r="C59" s="92"/>
      <c r="D59" s="92"/>
      <c r="E59" s="92"/>
      <c r="F59" s="92"/>
      <c r="G59" s="92"/>
      <c r="H59" s="92"/>
      <c r="I59" s="92"/>
      <c r="J59" s="92"/>
      <c r="K59" s="92"/>
      <c r="L59" s="98">
        <f>L30+L57</f>
        <v>0</v>
      </c>
      <c r="M59" s="98">
        <f>M30+M57</f>
        <v>0</v>
      </c>
      <c r="N59" s="98">
        <f>N30+N57</f>
        <v>30.1</v>
      </c>
      <c r="O59" s="98">
        <f>O30+O57</f>
        <v>30.1</v>
      </c>
      <c r="P59" s="98"/>
    </row>
    <row r="60" spans="1:221" x14ac:dyDescent="0.2">
      <c r="A60" s="37"/>
      <c r="B60" s="37"/>
      <c r="C60" s="37"/>
      <c r="D60" s="37"/>
      <c r="E60" s="37"/>
      <c r="F60" s="37"/>
      <c r="G60" s="37"/>
      <c r="H60" s="37"/>
      <c r="I60" s="37"/>
      <c r="J60" s="37"/>
      <c r="K60" s="37"/>
      <c r="L60" s="37"/>
      <c r="M60" s="37"/>
      <c r="N60" s="37"/>
      <c r="O60" s="40"/>
      <c r="P60" s="40"/>
    </row>
    <row r="61" spans="1:221" x14ac:dyDescent="0.2">
      <c r="A61" s="37" t="s">
        <v>37</v>
      </c>
      <c r="B61" s="37"/>
      <c r="C61" s="37"/>
      <c r="D61" s="37"/>
      <c r="E61" s="37"/>
      <c r="F61" s="37"/>
      <c r="G61" s="37"/>
      <c r="H61" s="37"/>
      <c r="I61" s="37"/>
      <c r="J61" s="37"/>
      <c r="K61" s="37"/>
      <c r="L61" s="37"/>
      <c r="M61" s="37"/>
      <c r="N61" s="37"/>
      <c r="O61" s="45">
        <f>O26+O28+O57</f>
        <v>30.1</v>
      </c>
      <c r="P61" s="245">
        <v>40967</v>
      </c>
    </row>
    <row r="62" spans="1:221" x14ac:dyDescent="0.2">
      <c r="A62" s="37"/>
      <c r="B62" s="37"/>
      <c r="C62" s="37"/>
      <c r="D62" s="37"/>
      <c r="E62" s="37"/>
      <c r="F62" s="37"/>
      <c r="G62" s="46"/>
      <c r="H62" s="46"/>
      <c r="I62" s="46"/>
      <c r="J62" s="46"/>
      <c r="K62" s="36"/>
      <c r="L62" s="36"/>
      <c r="M62" s="36"/>
      <c r="N62" s="36"/>
      <c r="O62" s="40"/>
    </row>
    <row r="63" spans="1:221" x14ac:dyDescent="0.2">
      <c r="A63" s="41" t="s">
        <v>116</v>
      </c>
      <c r="B63" s="37"/>
      <c r="C63" s="37"/>
      <c r="D63" s="37"/>
      <c r="E63" s="37"/>
      <c r="F63" s="37"/>
      <c r="G63" s="46"/>
      <c r="H63" s="46"/>
      <c r="I63" s="46"/>
      <c r="J63" s="46"/>
      <c r="K63" s="36"/>
      <c r="L63" s="36"/>
      <c r="M63" s="36"/>
      <c r="N63" s="36"/>
      <c r="O63" s="138">
        <f>MAX($O$59,$O$61)</f>
        <v>30.1</v>
      </c>
    </row>
    <row r="64" spans="1:221" x14ac:dyDescent="0.2">
      <c r="A64" s="37"/>
      <c r="B64" s="37"/>
      <c r="C64" s="37"/>
      <c r="D64" s="37"/>
      <c r="E64" s="37"/>
      <c r="F64" s="37"/>
      <c r="G64" s="46"/>
      <c r="H64" s="46"/>
      <c r="I64" s="46"/>
      <c r="J64" s="46"/>
      <c r="K64" s="36"/>
      <c r="L64" s="36"/>
      <c r="M64" s="36"/>
      <c r="N64" s="36"/>
      <c r="O64" s="40"/>
    </row>
    <row r="65" spans="1:16" x14ac:dyDescent="0.2">
      <c r="A65" s="37"/>
      <c r="B65" s="37"/>
      <c r="C65" s="37"/>
      <c r="D65" s="37"/>
      <c r="E65" s="37"/>
      <c r="F65" s="37"/>
      <c r="G65" s="96" t="s">
        <v>85</v>
      </c>
      <c r="H65" s="46"/>
      <c r="I65" s="37"/>
      <c r="J65" s="46"/>
      <c r="K65" s="36"/>
      <c r="L65" s="191"/>
      <c r="M65" s="191"/>
      <c r="N65" s="191"/>
      <c r="O65" s="191">
        <f>ROUND(IF($C$16&lt;1,0,$O$63/($C$16*100)*10000),2)</f>
        <v>0</v>
      </c>
      <c r="P65" s="37" t="s">
        <v>86</v>
      </c>
    </row>
    <row r="66" spans="1:16" x14ac:dyDescent="0.2">
      <c r="A66" s="37"/>
      <c r="B66" s="37"/>
      <c r="C66" s="37"/>
      <c r="D66" s="37"/>
      <c r="E66" s="37"/>
      <c r="F66" s="37"/>
      <c r="G66" s="242" t="s">
        <v>198</v>
      </c>
      <c r="H66" s="136"/>
      <c r="I66" s="133"/>
      <c r="J66" s="136"/>
      <c r="K66" s="137"/>
      <c r="L66" s="78"/>
      <c r="M66" s="78"/>
      <c r="N66" s="78"/>
      <c r="O66" s="243">
        <f>ROUND(IF($C$16&lt;1,0,(L59)/($C$16*100)*10000),2)</f>
        <v>0</v>
      </c>
      <c r="P66" s="25" t="s">
        <v>86</v>
      </c>
    </row>
    <row r="67" spans="1:16" x14ac:dyDescent="0.2">
      <c r="A67" s="37"/>
      <c r="B67" s="37"/>
      <c r="C67" s="37"/>
      <c r="D67" s="37"/>
      <c r="E67" s="37"/>
      <c r="F67" s="37"/>
      <c r="G67" s="96"/>
      <c r="H67" s="46"/>
      <c r="I67" s="96"/>
      <c r="J67" s="46"/>
      <c r="K67" s="36"/>
      <c r="L67" s="36"/>
      <c r="M67" s="36"/>
      <c r="N67" s="36"/>
      <c r="O67" s="130"/>
      <c r="P67" s="37"/>
    </row>
    <row r="68" spans="1:16" ht="20.25" customHeight="1" x14ac:dyDescent="0.3">
      <c r="A68" s="3"/>
      <c r="B68" s="37"/>
      <c r="C68" s="37"/>
      <c r="D68" s="228" t="str">
        <f>IF('Customer Info'!$C$33=TRUE,"Notice: Billing Charge does not include Self Assessed KWH Tax"," ")</f>
        <v xml:space="preserve"> </v>
      </c>
      <c r="E68" s="3"/>
      <c r="F68" s="4"/>
      <c r="G68" s="121"/>
      <c r="H68" s="55"/>
      <c r="I68" s="34"/>
      <c r="J68" s="55"/>
      <c r="K68" s="37"/>
      <c r="L68" s="37"/>
      <c r="M68" s="37"/>
      <c r="N68" s="34"/>
    </row>
    <row r="69" spans="1:16" x14ac:dyDescent="0.2">
      <c r="A69" s="37"/>
      <c r="B69" s="37"/>
      <c r="C69" s="37"/>
      <c r="D69" s="54"/>
      <c r="E69" s="3"/>
      <c r="F69" s="4"/>
      <c r="G69" s="55"/>
      <c r="H69" s="55"/>
      <c r="I69" s="93"/>
      <c r="J69" s="55"/>
      <c r="K69" s="37"/>
      <c r="L69" s="37"/>
      <c r="M69" s="37"/>
      <c r="N69" s="37"/>
      <c r="O69" s="40"/>
    </row>
    <row r="70" spans="1:16" x14ac:dyDescent="0.2">
      <c r="A70" s="37"/>
      <c r="B70" s="37"/>
      <c r="C70" s="37"/>
      <c r="D70" s="54"/>
      <c r="E70" s="3"/>
      <c r="F70" s="4"/>
      <c r="G70" s="55"/>
      <c r="H70" s="55"/>
      <c r="I70" s="55"/>
      <c r="J70" s="55"/>
      <c r="K70" s="37"/>
      <c r="L70" s="37"/>
      <c r="M70" s="37"/>
      <c r="N70" s="37"/>
      <c r="O70" s="40"/>
    </row>
    <row r="71" spans="1:16" x14ac:dyDescent="0.2">
      <c r="A71" s="41"/>
      <c r="B71" s="37"/>
      <c r="C71" s="37"/>
      <c r="D71" s="37"/>
      <c r="E71" s="37"/>
      <c r="F71" s="37"/>
      <c r="G71" s="37"/>
      <c r="H71" s="37"/>
      <c r="J71" s="37"/>
      <c r="K71" s="37"/>
      <c r="L71" s="40"/>
      <c r="M71" s="40"/>
      <c r="N71" s="40"/>
      <c r="O71" s="138"/>
    </row>
    <row r="72" spans="1:16" x14ac:dyDescent="0.2">
      <c r="B72" s="37"/>
      <c r="C72" s="37"/>
      <c r="D72" s="37"/>
      <c r="E72" s="37"/>
      <c r="F72" s="37"/>
      <c r="G72" s="96"/>
      <c r="H72" s="37"/>
      <c r="I72" s="37"/>
      <c r="J72" s="37"/>
      <c r="K72" s="37"/>
      <c r="L72" s="60"/>
      <c r="M72" s="60"/>
      <c r="N72" s="60"/>
      <c r="O72" s="130"/>
      <c r="P72" s="37"/>
    </row>
    <row r="73" spans="1:16" x14ac:dyDescent="0.2">
      <c r="G73" s="133"/>
      <c r="H73" s="56"/>
      <c r="I73" s="133"/>
      <c r="J73" s="56"/>
      <c r="K73" s="56"/>
      <c r="L73" s="134"/>
      <c r="M73" s="134"/>
      <c r="N73" s="134"/>
      <c r="O73" s="135"/>
      <c r="P73" s="25"/>
    </row>
    <row r="75" spans="1:16" x14ac:dyDescent="0.2">
      <c r="A75" s="547"/>
    </row>
    <row r="76" spans="1:16" x14ac:dyDescent="0.2">
      <c r="A76" s="547"/>
    </row>
    <row r="77" spans="1:16" x14ac:dyDescent="0.2">
      <c r="A77" s="547"/>
    </row>
    <row r="78" spans="1:16" x14ac:dyDescent="0.2">
      <c r="A78" s="547"/>
    </row>
    <row r="79" spans="1:16" x14ac:dyDescent="0.2">
      <c r="A79" s="547"/>
    </row>
    <row r="80" spans="1:1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sheetData>
  <sheetProtection algorithmName="SHA-512" hashValue="uq0Wu+nkuWRSokv0jFNnDWglU1y2zyDBt35HcHDjBsYcCfACDXdplIkoKtdh4FI5Jmx6GgsQHModUFt0UxJqLw==" saltValue="JCf3ozONkO9ANL2xPDPWrQ==" spinCount="100000" sheet="1" objects="1" scenarios="1"/>
  <mergeCells count="26">
    <mergeCell ref="A75:A89"/>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276225</xdr:colOff>
                    <xdr:row>83</xdr:row>
                    <xdr:rowOff>47625</xdr:rowOff>
                  </from>
                  <to>
                    <xdr:col>16</xdr:col>
                    <xdr:colOff>28575</xdr:colOff>
                    <xdr:row>84</xdr:row>
                    <xdr:rowOff>85725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IV89"/>
  <sheetViews>
    <sheetView showGridLines="0" topLeftCell="A7" zoomScale="80" zoomScaleNormal="80" workbookViewId="0">
      <selection activeCell="D14" sqref="D14"/>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323</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282">
        <f ca="1">TODAY()</f>
        <v>45532</v>
      </c>
      <c r="B6" s="210" t="s">
        <v>300</v>
      </c>
      <c r="C6" s="274"/>
      <c r="D6" s="274"/>
      <c r="E6" s="274"/>
      <c r="F6" s="274"/>
      <c r="G6" s="274"/>
      <c r="H6" s="274"/>
      <c r="I6" s="274"/>
      <c r="J6" s="274"/>
      <c r="K6" s="274"/>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ROUND(C14*C20,1)</f>
        <v>0</v>
      </c>
      <c r="E14" s="29" t="s">
        <v>45</v>
      </c>
      <c r="F14" s="30"/>
      <c r="G14" s="29" t="s">
        <v>15</v>
      </c>
      <c r="I14" s="53" t="s">
        <v>15</v>
      </c>
      <c r="J14" s="29"/>
      <c r="K14" s="29"/>
      <c r="L14" s="29"/>
      <c r="M14" s="29"/>
      <c r="N14" s="29"/>
    </row>
    <row r="15" spans="1:256" x14ac:dyDescent="0.2">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
      <c r="A17" s="31" t="s">
        <v>293</v>
      </c>
      <c r="B17" s="31"/>
      <c r="C17" s="32">
        <f>'Customer Info'!$B$28</f>
        <v>0</v>
      </c>
      <c r="D17" s="32">
        <f>$C$17</f>
        <v>0</v>
      </c>
      <c r="E17" s="31" t="s">
        <v>296</v>
      </c>
      <c r="F17" s="33"/>
      <c r="G17" s="31"/>
      <c r="H17" s="31"/>
      <c r="I17" s="31"/>
      <c r="J17" s="31"/>
      <c r="K17" s="31"/>
      <c r="L17" s="31"/>
      <c r="M17" s="31"/>
      <c r="N17" s="31"/>
      <c r="O17" s="31"/>
    </row>
    <row r="18" spans="1:30" x14ac:dyDescent="0.2">
      <c r="A18" s="31" t="s">
        <v>294</v>
      </c>
      <c r="B18" s="31"/>
      <c r="C18" s="285">
        <f>IF('Customer Info'!$B$19=0,0,ROUND(MAX(ROUND('Customer Info'!$B$19*'GS PRI OAD'!C20,1),ROUND('Customer Info'!$B$20*'GS PRI OAD'!C20,1))/'Customer Info'!$D$30,1))</f>
        <v>0</v>
      </c>
      <c r="D18" s="285">
        <f>$C$18</f>
        <v>0</v>
      </c>
      <c r="E18" s="31" t="s">
        <v>297</v>
      </c>
      <c r="F18" s="33"/>
      <c r="G18" s="31"/>
      <c r="H18" s="31"/>
      <c r="I18" s="31"/>
      <c r="J18" s="31"/>
      <c r="K18" s="31"/>
      <c r="L18" s="31"/>
      <c r="M18" s="31"/>
      <c r="N18" s="31"/>
      <c r="O18" s="31"/>
    </row>
    <row r="19" spans="1:30" x14ac:dyDescent="0.2">
      <c r="A19" s="31" t="s">
        <v>295</v>
      </c>
      <c r="B19" s="31"/>
      <c r="C19" s="32"/>
      <c r="D19" s="285">
        <f>MAX(100,ROUND(1.15*(MAX('Customer Info'!$B$19*'GS PRI OAD'!C20,'Customer Info'!$B$20*'GS PRI OAD'!C20)),1))</f>
        <v>100</v>
      </c>
      <c r="E19" s="31" t="s">
        <v>297</v>
      </c>
      <c r="F19" s="33"/>
      <c r="K19" s="31"/>
      <c r="L19" s="31"/>
      <c r="M19" s="31"/>
      <c r="N19" s="31"/>
    </row>
    <row r="20" spans="1:30" x14ac:dyDescent="0.2">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68" t="s">
        <v>15</v>
      </c>
      <c r="E21" s="568"/>
      <c r="F21" s="568"/>
      <c r="G21" s="568"/>
      <c r="H21" s="568"/>
      <c r="K21" s="31"/>
      <c r="L21" s="31"/>
      <c r="M21" s="31"/>
      <c r="N21" s="31"/>
      <c r="O21" s="50"/>
    </row>
    <row r="22" spans="1:30" x14ac:dyDescent="0.2">
      <c r="A22" s="31" t="s">
        <v>15</v>
      </c>
      <c r="B22" s="31"/>
      <c r="C22" s="82" t="s">
        <v>15</v>
      </c>
      <c r="D22" s="568" t="s">
        <v>15</v>
      </c>
      <c r="E22" s="568"/>
      <c r="F22" s="568"/>
      <c r="G22" s="568"/>
      <c r="H22" s="568"/>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560" t="s">
        <v>67</v>
      </c>
      <c r="H24" s="561"/>
      <c r="I24" s="561"/>
      <c r="J24" s="562"/>
      <c r="K24" s="22"/>
      <c r="L24" s="563" t="s">
        <v>68</v>
      </c>
      <c r="M24" s="563"/>
      <c r="N24" s="563"/>
      <c r="O24" s="563"/>
    </row>
    <row r="25" spans="1:30" x14ac:dyDescent="0.2">
      <c r="A25" s="18"/>
      <c r="B25" s="18"/>
      <c r="C25" s="18"/>
      <c r="D25" s="18"/>
      <c r="E25" s="18"/>
      <c r="F25" s="18"/>
      <c r="G25" s="8" t="s">
        <v>64</v>
      </c>
      <c r="H25" s="8" t="s">
        <v>65</v>
      </c>
      <c r="I25" s="8" t="s">
        <v>66</v>
      </c>
      <c r="J25" s="112" t="s">
        <v>34</v>
      </c>
      <c r="K25" s="18"/>
      <c r="L25" s="283" t="s">
        <v>64</v>
      </c>
      <c r="M25" s="283" t="s">
        <v>65</v>
      </c>
      <c r="N25" s="283" t="s">
        <v>66</v>
      </c>
      <c r="O25" s="132" t="s">
        <v>34</v>
      </c>
      <c r="P25" s="43" t="s">
        <v>56</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Info'!B15-100)*0.6,('Customer Info'!B17-100)*0.6),1)</f>
        <v>0</v>
      </c>
      <c r="E28" s="29" t="s">
        <v>45</v>
      </c>
      <c r="F28" s="4" t="s">
        <v>8</v>
      </c>
      <c r="G28" s="85"/>
      <c r="H28" s="85"/>
      <c r="I28" s="85">
        <v>6.17</v>
      </c>
      <c r="J28" s="85">
        <f>SUM(G28:I28)</f>
        <v>6.17</v>
      </c>
      <c r="K28" s="36" t="s">
        <v>44</v>
      </c>
      <c r="L28" s="87"/>
      <c r="M28" s="87"/>
      <c r="N28" s="87">
        <f>ROUND($D28*I28,2)</f>
        <v>0</v>
      </c>
      <c r="O28" s="209">
        <f>SUM(L28:N28)</f>
        <v>0</v>
      </c>
      <c r="P28" s="245">
        <v>45261</v>
      </c>
    </row>
    <row r="29" spans="1:30" x14ac:dyDescent="0.2">
      <c r="A29" t="s">
        <v>270</v>
      </c>
      <c r="D29" s="49">
        <f>IF(D18&lt;=100,0,ROUND(IF(D18-D19&gt;0,D18-D19),1))</f>
        <v>0</v>
      </c>
      <c r="E29" s="29" t="s">
        <v>268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69</v>
      </c>
      <c r="D32" s="1"/>
      <c r="E32" s="1"/>
      <c r="K32" s="36"/>
      <c r="L32" s="36"/>
      <c r="M32" s="36"/>
      <c r="N32" s="36"/>
      <c r="O32" s="34"/>
      <c r="P32" s="34"/>
    </row>
    <row r="33" spans="1:221" x14ac:dyDescent="0.2">
      <c r="A33" s="37"/>
      <c r="D33" s="1"/>
      <c r="E33" s="1"/>
      <c r="K33" s="36"/>
      <c r="L33" s="36"/>
      <c r="M33" s="36"/>
      <c r="N33" s="36"/>
      <c r="O33" s="34"/>
    </row>
    <row r="34" spans="1:221" x14ac:dyDescent="0.2">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245</v>
      </c>
      <c r="B39" s="78"/>
      <c r="C39" s="78"/>
      <c r="D39" s="208">
        <f>$N$30</f>
        <v>138.5</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218</v>
      </c>
      <c r="B40" s="78"/>
      <c r="C40" s="78"/>
      <c r="D40" s="1">
        <f>IF($C$16&lt;0,0,IF($C$16&gt;833000,833000,$C$16))</f>
        <v>0</v>
      </c>
      <c r="E40" s="101" t="s">
        <v>41</v>
      </c>
      <c r="F40" s="102" t="s">
        <v>8</v>
      </c>
      <c r="G40" s="103"/>
      <c r="H40" s="103"/>
      <c r="I40" s="103">
        <f>'Rider Rates'!D53</f>
        <v>1.8006999999999999E-3</v>
      </c>
      <c r="J40" s="103">
        <f>SUM(G40:I40)</f>
        <v>1.8006999999999999E-3</v>
      </c>
      <c r="K40" s="104" t="s">
        <v>42</v>
      </c>
      <c r="L40" s="105"/>
      <c r="M40" s="105"/>
      <c r="N40" s="87">
        <f>D40*J40</f>
        <v>0</v>
      </c>
      <c r="O40" s="105">
        <f t="shared" si="0"/>
        <v>0</v>
      </c>
      <c r="P40" s="245">
        <f>'Rider Rates'!E53</f>
        <v>45474</v>
      </c>
    </row>
    <row r="41" spans="1:221" x14ac:dyDescent="0.2">
      <c r="A41" s="210" t="s">
        <v>197</v>
      </c>
      <c r="B41" s="78"/>
      <c r="C41" s="78"/>
      <c r="D41" s="1">
        <f>IF($C$16&lt;0,0,$C$16)</f>
        <v>0</v>
      </c>
      <c r="E41" s="113" t="s">
        <v>41</v>
      </c>
      <c r="F41" s="102" t="s">
        <v>8</v>
      </c>
      <c r="G41" s="103"/>
      <c r="H41" s="103">
        <f>'Rider Rates'!B62</f>
        <v>5.8060000000000002E-4</v>
      </c>
      <c r="I41" s="103"/>
      <c r="J41" s="103">
        <f>SUM(G41:I41)</f>
        <v>5.8060000000000002E-4</v>
      </c>
      <c r="K41" s="104" t="s">
        <v>42</v>
      </c>
      <c r="L41" s="105"/>
      <c r="M41" s="105">
        <f>ROUND(D41*H41,2)</f>
        <v>0</v>
      </c>
      <c r="N41" s="205"/>
      <c r="O41" s="105">
        <f t="shared" si="0"/>
        <v>0</v>
      </c>
      <c r="P41" s="245">
        <f>'Rider Rates'!$D$61</f>
        <v>45383</v>
      </c>
    </row>
    <row r="42" spans="1:221" x14ac:dyDescent="0.2">
      <c r="A42" s="210" t="s">
        <v>197</v>
      </c>
      <c r="B42" s="78"/>
      <c r="C42" s="78"/>
      <c r="D42" s="49">
        <f>D14</f>
        <v>0</v>
      </c>
      <c r="E42" s="35" t="s">
        <v>63</v>
      </c>
      <c r="F42" s="4" t="s">
        <v>8</v>
      </c>
      <c r="G42" s="103"/>
      <c r="H42" s="239">
        <f>'Rider Rates'!B67</f>
        <v>6.76</v>
      </c>
      <c r="I42" s="103"/>
      <c r="J42" s="239">
        <f>SUM(G42:I42)</f>
        <v>6.76</v>
      </c>
      <c r="K42" s="104" t="s">
        <v>44</v>
      </c>
      <c r="L42" s="105"/>
      <c r="M42" s="105">
        <f>ROUND(D42*H42,2)</f>
        <v>0</v>
      </c>
      <c r="N42" s="205"/>
      <c r="O42" s="105">
        <f t="shared" si="0"/>
        <v>0</v>
      </c>
      <c r="P42" s="245">
        <f>'Rider Rates'!$D$66</f>
        <v>45383</v>
      </c>
    </row>
    <row r="43" spans="1:221" x14ac:dyDescent="0.2">
      <c r="A43" s="99" t="s">
        <v>82</v>
      </c>
      <c r="B43" s="78"/>
      <c r="C43" s="78"/>
      <c r="D43" s="1">
        <f>IF('Customer Info'!C35=TRUE,0,IF($C$16&lt;0,0,$C$16))</f>
        <v>0</v>
      </c>
      <c r="E43" s="101" t="s">
        <v>41</v>
      </c>
      <c r="F43" s="102" t="s">
        <v>8</v>
      </c>
      <c r="G43" s="103"/>
      <c r="H43" s="103"/>
      <c r="I43" s="103">
        <f>'Rider Rates'!$B$75+'Rider Rates'!$C$75</f>
        <v>0</v>
      </c>
      <c r="J43" s="103">
        <f>SUM(G43:I43)</f>
        <v>0</v>
      </c>
      <c r="K43" s="104" t="s">
        <v>42</v>
      </c>
      <c r="L43" s="105"/>
      <c r="M43" s="105"/>
      <c r="N43" s="87">
        <f>ROUND($D$43*'Rider Rates'!$B$75,2)+ROUND($D$43*'Rider Rates'!$C$75,2)</f>
        <v>0</v>
      </c>
      <c r="O43" s="209">
        <f t="shared" si="0"/>
        <v>0</v>
      </c>
      <c r="P43" s="245">
        <f>'Rider Rates'!$D$75</f>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82</v>
      </c>
      <c r="B44" s="78"/>
      <c r="C44" s="78"/>
      <c r="D44" s="49">
        <f>IF('Customer Info'!C35=TRUE,0,$D$28)</f>
        <v>0</v>
      </c>
      <c r="E44" s="101" t="s">
        <v>45</v>
      </c>
      <c r="F44" s="102" t="s">
        <v>8</v>
      </c>
      <c r="G44" s="103"/>
      <c r="H44" s="103"/>
      <c r="I44" s="239">
        <f>'Rider Rates'!$B$85</f>
        <v>0</v>
      </c>
      <c r="J44" s="239">
        <f>SUM(G44:I44)</f>
        <v>0</v>
      </c>
      <c r="K44" s="104" t="s">
        <v>42</v>
      </c>
      <c r="L44" s="105"/>
      <c r="M44" s="105"/>
      <c r="N44" s="87">
        <f>ROUND($D44*I44,2)</f>
        <v>0</v>
      </c>
      <c r="O44" s="209">
        <f>SUM(L44:N44)</f>
        <v>0</v>
      </c>
      <c r="P44" s="245">
        <f>'Rider Rates'!$D$85</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80</v>
      </c>
      <c r="B45" s="78"/>
      <c r="C45" s="78"/>
      <c r="D45" s="208">
        <f>$N$30</f>
        <v>138.5</v>
      </c>
      <c r="E45" s="101" t="s">
        <v>121</v>
      </c>
      <c r="F45" s="102" t="s">
        <v>8</v>
      </c>
      <c r="G45" s="111"/>
      <c r="H45" s="112"/>
      <c r="I45" s="120">
        <f>'Rider Rates'!$B$89</f>
        <v>2.9347000000000002E-2</v>
      </c>
      <c r="J45" s="120">
        <f>SUM(H45:I45)</f>
        <v>2.9347000000000002E-2</v>
      </c>
      <c r="K45" s="104"/>
      <c r="L45" s="105"/>
      <c r="M45" s="105"/>
      <c r="N45" s="105">
        <f>ROUND(N$30*I45,2)</f>
        <v>4.0599999999999996</v>
      </c>
      <c r="O45" s="209">
        <f t="shared" si="0"/>
        <v>4.0599999999999996</v>
      </c>
      <c r="P45" s="245">
        <f>'Rider Rates'!$D$89</f>
        <v>45383</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81</v>
      </c>
      <c r="B46" s="78"/>
      <c r="C46" s="78"/>
      <c r="D46" s="208">
        <f>$N$30</f>
        <v>138.5</v>
      </c>
      <c r="E46" s="101" t="s">
        <v>121</v>
      </c>
      <c r="F46" s="102" t="s">
        <v>8</v>
      </c>
      <c r="G46" s="114"/>
      <c r="H46" s="115"/>
      <c r="I46" s="120">
        <f>'Rider Rates'!$B$91</f>
        <v>6.6985699999999995E-2</v>
      </c>
      <c r="J46" s="120">
        <f>SUM(H46:I46)</f>
        <v>6.6985699999999995E-2</v>
      </c>
      <c r="K46" s="104"/>
      <c r="L46" s="105"/>
      <c r="M46" s="105"/>
      <c r="N46" s="105">
        <f>ROUND(N$30*I46,2)</f>
        <v>9.2799999999999994</v>
      </c>
      <c r="O46" s="209">
        <f t="shared" si="0"/>
        <v>9.2799999999999994</v>
      </c>
      <c r="P46" s="245">
        <f>'Rider Rates'!$D$91</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214</v>
      </c>
      <c r="B47" s="78"/>
      <c r="C47" s="78"/>
      <c r="D47" s="195"/>
      <c r="E47" s="113" t="s">
        <v>114</v>
      </c>
      <c r="F47" s="106"/>
      <c r="G47" s="114"/>
      <c r="H47" s="115"/>
      <c r="I47" s="196">
        <f>'Rider Rates'!$B$95</f>
        <v>11.97</v>
      </c>
      <c r="J47" s="196">
        <f>SUM(G47:I47)</f>
        <v>11.97</v>
      </c>
      <c r="K47" s="104"/>
      <c r="L47" s="105"/>
      <c r="M47" s="105"/>
      <c r="N47" s="105">
        <f>I47</f>
        <v>11.97</v>
      </c>
      <c r="O47" s="105">
        <f>SUM(L47:N47)</f>
        <v>11.97</v>
      </c>
      <c r="P47" s="245">
        <f>'Rider Rates'!$D$95</f>
        <v>45442</v>
      </c>
    </row>
    <row r="48" spans="1:221" x14ac:dyDescent="0.2">
      <c r="A48" s="99" t="s">
        <v>156</v>
      </c>
      <c r="B48" s="78"/>
      <c r="C48" s="78"/>
      <c r="D48" s="208">
        <f>$N$30</f>
        <v>138.5</v>
      </c>
      <c r="E48" s="101" t="s">
        <v>121</v>
      </c>
      <c r="F48" s="102" t="s">
        <v>8</v>
      </c>
      <c r="G48" s="114"/>
      <c r="H48" s="115"/>
      <c r="I48" s="120">
        <f>'Rider Rates'!$B$109</f>
        <v>0.211176</v>
      </c>
      <c r="J48" s="120">
        <f>SUM(H48:I48)</f>
        <v>0.211176</v>
      </c>
      <c r="K48" s="104"/>
      <c r="L48" s="105"/>
      <c r="M48" s="105"/>
      <c r="N48" s="105">
        <f>ROUND(N$30*I48,2)</f>
        <v>29.25</v>
      </c>
      <c r="O48" s="105">
        <f t="shared" si="0"/>
        <v>29.25</v>
      </c>
      <c r="P48" s="245">
        <f>'Rider Rates'!$D$109</f>
        <v>45532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114</v>
      </c>
      <c r="F49" s="106"/>
      <c r="G49" s="114"/>
      <c r="H49" s="115"/>
      <c r="I49" s="196">
        <f>'Rider Rates'!$B$113</f>
        <v>0</v>
      </c>
      <c r="J49" s="196">
        <f t="shared" ref="J49:J55" si="1">SUM(G49:I49)</f>
        <v>0</v>
      </c>
      <c r="K49" s="104"/>
      <c r="L49" s="105"/>
      <c r="M49" s="105"/>
      <c r="N49" s="105">
        <f>I49</f>
        <v>0</v>
      </c>
      <c r="O49" s="105">
        <f t="shared" ref="O49:O55" si="2">SUM(L49:N49)</f>
        <v>0</v>
      </c>
      <c r="P49" s="245">
        <f>'Rider Rates'!$D$113</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225</v>
      </c>
      <c r="B50" s="78"/>
      <c r="C50" s="78"/>
      <c r="D50" s="195"/>
      <c r="E50" s="113" t="s">
        <v>114</v>
      </c>
      <c r="F50" s="106"/>
      <c r="G50" s="114"/>
      <c r="H50" s="115"/>
      <c r="I50" s="258">
        <f>'Rider Rates'!B126</f>
        <v>5.83</v>
      </c>
      <c r="J50" s="196">
        <f t="shared" si="1"/>
        <v>5.83</v>
      </c>
      <c r="K50" s="104"/>
      <c r="L50" s="105"/>
      <c r="M50" s="105"/>
      <c r="N50" s="260">
        <f>I50</f>
        <v>5.83</v>
      </c>
      <c r="O50" s="105">
        <f t="shared" si="2"/>
        <v>5.83</v>
      </c>
      <c r="P50" s="245">
        <f>'Rider Rates'!D126</f>
        <v>45226</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216</v>
      </c>
      <c r="B51" s="78"/>
      <c r="C51" s="78"/>
      <c r="D51" s="1">
        <f>IF($C$16&lt;1,0,$C$16)</f>
        <v>0</v>
      </c>
      <c r="E51" s="101" t="s">
        <v>41</v>
      </c>
      <c r="F51" s="249" t="s">
        <v>8</v>
      </c>
      <c r="G51" s="165"/>
      <c r="H51" s="165"/>
      <c r="I51" s="251">
        <f>'Rider Rates'!B122</f>
        <v>-6.2E-4</v>
      </c>
      <c r="J51" s="251">
        <f t="shared" si="1"/>
        <v>-6.2E-4</v>
      </c>
      <c r="K51" s="104" t="s">
        <v>42</v>
      </c>
      <c r="L51" s="105"/>
      <c r="M51" s="105"/>
      <c r="N51" s="105">
        <f>D51*I51</f>
        <v>0</v>
      </c>
      <c r="O51" s="105">
        <f t="shared" si="2"/>
        <v>0</v>
      </c>
      <c r="P51" s="245">
        <f>'Rider Rates'!D122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241</v>
      </c>
      <c r="B52" s="78"/>
      <c r="C52" s="78"/>
      <c r="D52" s="100">
        <f>IF(C16&lt;0,0,IF(C16&gt;833000,833000,C16))</f>
        <v>0</v>
      </c>
      <c r="E52" s="101" t="s">
        <v>41</v>
      </c>
      <c r="F52" s="102" t="s">
        <v>8</v>
      </c>
      <c r="G52" s="265"/>
      <c r="H52" s="265"/>
      <c r="I52" s="265">
        <f>'Rider Rates'!$B$130</f>
        <v>2.9050000000000001E-4</v>
      </c>
      <c r="J52" s="265">
        <f t="shared" si="1"/>
        <v>2.9050000000000001E-4</v>
      </c>
      <c r="K52" s="104" t="s">
        <v>42</v>
      </c>
      <c r="L52" s="266"/>
      <c r="M52" s="266"/>
      <c r="N52" s="266">
        <f>IF(D52*J52&gt;'Rider Rates'!$C$130,'Rider Rates'!$C$130,D52*J52)</f>
        <v>0</v>
      </c>
      <c r="O52" s="266">
        <f t="shared" si="2"/>
        <v>0</v>
      </c>
      <c r="P52" s="264">
        <f>'Rider Rates'!$E$130</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78" t="s">
        <v>242</v>
      </c>
      <c r="B53" s="78"/>
      <c r="C53" s="78"/>
      <c r="D53" s="123">
        <f>IF(C16&gt;833000,C16-833000,0)</f>
        <v>0</v>
      </c>
      <c r="E53" s="101" t="s">
        <v>41</v>
      </c>
      <c r="F53" s="102" t="s">
        <v>8</v>
      </c>
      <c r="G53" s="265"/>
      <c r="H53" s="265"/>
      <c r="I53" s="265">
        <f>'Rider Rates'!$B$131</f>
        <v>0</v>
      </c>
      <c r="J53" s="265">
        <f t="shared" si="1"/>
        <v>0</v>
      </c>
      <c r="K53" s="104" t="s">
        <v>42</v>
      </c>
      <c r="L53" s="266"/>
      <c r="M53" s="266"/>
      <c r="N53" s="266">
        <f>D53*J53</f>
        <v>0</v>
      </c>
      <c r="O53" s="266">
        <f t="shared" si="2"/>
        <v>0</v>
      </c>
      <c r="P53" s="264">
        <f>'Rider Rates'!$E$131</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250</v>
      </c>
      <c r="B54" s="78"/>
      <c r="C54" s="78"/>
      <c r="D54" s="100">
        <f>D16</f>
        <v>0</v>
      </c>
      <c r="E54" s="101" t="s">
        <v>41</v>
      </c>
      <c r="F54" s="249" t="s">
        <v>8</v>
      </c>
      <c r="G54" s="103"/>
      <c r="H54" s="103"/>
      <c r="I54" s="103">
        <f>'Rider Rates'!$B$137</f>
        <v>0</v>
      </c>
      <c r="J54" s="237">
        <f t="shared" si="1"/>
        <v>0</v>
      </c>
      <c r="K54" s="104" t="s">
        <v>42</v>
      </c>
      <c r="L54" s="105"/>
      <c r="M54" s="105"/>
      <c r="N54" s="105">
        <f>D54*J54</f>
        <v>0</v>
      </c>
      <c r="O54" s="105">
        <f t="shared" si="2"/>
        <v>0</v>
      </c>
      <c r="P54" s="245">
        <f>'Rider Rates'!$D$135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249</v>
      </c>
      <c r="B55" s="78"/>
      <c r="C55" s="78"/>
      <c r="D55" s="100"/>
      <c r="E55" s="101" t="s">
        <v>114</v>
      </c>
      <c r="F55" s="102" t="s">
        <v>8</v>
      </c>
      <c r="G55" s="263"/>
      <c r="H55" s="263"/>
      <c r="I55" s="263">
        <f>'Rider Rates'!$B$142</f>
        <v>0</v>
      </c>
      <c r="J55" s="263">
        <f t="shared" si="1"/>
        <v>0</v>
      </c>
      <c r="K55" s="104"/>
      <c r="L55" s="209"/>
      <c r="M55" s="209"/>
      <c r="N55" s="209">
        <f>J55</f>
        <v>0</v>
      </c>
      <c r="O55" s="209">
        <f t="shared" si="2"/>
        <v>0</v>
      </c>
      <c r="P55" s="264">
        <f>'Rider Rates'!$D$142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251</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79" t="s">
        <v>70</v>
      </c>
      <c r="B57" s="148"/>
      <c r="C57" s="148"/>
      <c r="D57" s="180"/>
      <c r="E57" s="181"/>
      <c r="F57" s="182"/>
      <c r="G57" s="182"/>
      <c r="H57" s="182"/>
      <c r="I57" s="182"/>
      <c r="J57" s="182"/>
      <c r="K57" s="183"/>
      <c r="L57" s="169">
        <f>SUM(L34:L56)</f>
        <v>0</v>
      </c>
      <c r="M57" s="169">
        <f>SUM(M34:M56)</f>
        <v>0</v>
      </c>
      <c r="N57" s="169">
        <f>SUM(N34:N56)</f>
        <v>60.39</v>
      </c>
      <c r="O57" s="169">
        <f>SUM(O34:O56)</f>
        <v>60.39</v>
      </c>
      <c r="P57" s="184"/>
    </row>
    <row r="58" spans="1:221" x14ac:dyDescent="0.2">
      <c r="A58" s="37"/>
      <c r="D58" s="1"/>
      <c r="E58" s="35"/>
      <c r="F58" s="4"/>
      <c r="G58" s="42"/>
      <c r="H58" s="42"/>
      <c r="I58" s="42"/>
      <c r="J58" s="42"/>
      <c r="K58" s="36"/>
      <c r="L58" s="36"/>
      <c r="M58" s="36"/>
      <c r="N58" s="36"/>
      <c r="O58" s="34"/>
      <c r="P58" s="36"/>
    </row>
    <row r="59" spans="1:221" x14ac:dyDescent="0.2">
      <c r="A59" s="284" t="s">
        <v>71</v>
      </c>
      <c r="B59" s="92"/>
      <c r="C59" s="92"/>
      <c r="D59" s="92"/>
      <c r="E59" s="92"/>
      <c r="F59" s="92"/>
      <c r="G59" s="92"/>
      <c r="H59" s="92"/>
      <c r="I59" s="92"/>
      <c r="J59" s="92"/>
      <c r="K59" s="92"/>
      <c r="L59" s="98">
        <f>L30+L57</f>
        <v>0</v>
      </c>
      <c r="M59" s="98">
        <f>M30+M57</f>
        <v>0</v>
      </c>
      <c r="N59" s="98">
        <f>N30+N57</f>
        <v>198.89</v>
      </c>
      <c r="O59" s="98">
        <f>O30+O57</f>
        <v>198.89</v>
      </c>
      <c r="P59" s="98"/>
    </row>
    <row r="60" spans="1:221" x14ac:dyDescent="0.2">
      <c r="A60" s="37"/>
      <c r="B60" s="37"/>
      <c r="C60" s="37"/>
      <c r="D60" s="37"/>
      <c r="E60" s="37"/>
      <c r="F60" s="37"/>
      <c r="G60" s="37"/>
      <c r="H60" s="37"/>
      <c r="I60" s="37"/>
      <c r="J60" s="37"/>
      <c r="K60" s="37"/>
      <c r="L60" s="37"/>
      <c r="M60" s="37"/>
      <c r="N60" s="37"/>
      <c r="O60" s="40"/>
      <c r="P60" s="40"/>
    </row>
    <row r="61" spans="1:221" x14ac:dyDescent="0.2">
      <c r="A61" s="37" t="s">
        <v>37</v>
      </c>
      <c r="B61" s="37"/>
      <c r="C61" s="37"/>
      <c r="D61" s="37"/>
      <c r="E61" s="37"/>
      <c r="F61" s="37"/>
      <c r="G61" s="37"/>
      <c r="H61" s="37"/>
      <c r="I61" s="37"/>
      <c r="J61" s="37"/>
      <c r="K61" s="37"/>
      <c r="L61" s="37"/>
      <c r="M61" s="37"/>
      <c r="N61" s="37"/>
      <c r="O61" s="45">
        <f>O26+O28+O57</f>
        <v>198.89</v>
      </c>
      <c r="P61" s="245">
        <v>40967</v>
      </c>
    </row>
    <row r="62" spans="1:221" x14ac:dyDescent="0.2">
      <c r="A62" s="37"/>
      <c r="B62" s="37"/>
      <c r="C62" s="37"/>
      <c r="D62" s="37"/>
      <c r="E62" s="37"/>
      <c r="F62" s="37"/>
      <c r="G62" s="46"/>
      <c r="H62" s="46"/>
      <c r="I62" s="46"/>
      <c r="J62" s="46"/>
      <c r="K62" s="36"/>
      <c r="L62" s="36"/>
      <c r="M62" s="36"/>
      <c r="N62" s="36"/>
      <c r="O62" s="40"/>
    </row>
    <row r="63" spans="1:221" x14ac:dyDescent="0.2">
      <c r="A63" s="41" t="s">
        <v>116</v>
      </c>
      <c r="B63" s="37"/>
      <c r="C63" s="37"/>
      <c r="D63" s="37"/>
      <c r="E63" s="37"/>
      <c r="F63" s="37"/>
      <c r="G63" s="46"/>
      <c r="H63" s="46"/>
      <c r="I63" s="46"/>
      <c r="J63" s="46"/>
      <c r="K63" s="36"/>
      <c r="L63" s="36"/>
      <c r="M63" s="36"/>
      <c r="N63" s="36"/>
      <c r="O63" s="138">
        <f>MAX($O$59,$O$61)</f>
        <v>198.89</v>
      </c>
    </row>
    <row r="64" spans="1:221" x14ac:dyDescent="0.2">
      <c r="A64" s="37"/>
      <c r="B64" s="37"/>
      <c r="C64" s="37"/>
      <c r="D64" s="37"/>
      <c r="E64" s="37"/>
      <c r="F64" s="37"/>
      <c r="G64" s="46"/>
      <c r="H64" s="46"/>
      <c r="I64" s="46"/>
      <c r="J64" s="46"/>
      <c r="K64" s="36"/>
      <c r="L64" s="36"/>
      <c r="M64" s="36"/>
      <c r="N64" s="36"/>
      <c r="O64" s="40"/>
    </row>
    <row r="65" spans="1:16" x14ac:dyDescent="0.2">
      <c r="A65" s="37"/>
      <c r="B65" s="37"/>
      <c r="C65" s="37"/>
      <c r="D65" s="37"/>
      <c r="E65" s="37"/>
      <c r="F65" s="37"/>
      <c r="G65" s="96" t="s">
        <v>85</v>
      </c>
      <c r="H65" s="46"/>
      <c r="I65" s="37"/>
      <c r="J65" s="46"/>
      <c r="K65" s="36"/>
      <c r="L65" s="191"/>
      <c r="M65" s="191"/>
      <c r="N65" s="191"/>
      <c r="O65" s="191">
        <f>ROUND(IF($C$16&lt;1,0,$O$63/($C$16*100)*10000),2)</f>
        <v>0</v>
      </c>
      <c r="P65" s="37" t="s">
        <v>86</v>
      </c>
    </row>
    <row r="66" spans="1:16" x14ac:dyDescent="0.2">
      <c r="A66" s="37"/>
      <c r="B66" s="37"/>
      <c r="C66" s="37"/>
      <c r="D66" s="37"/>
      <c r="E66" s="37"/>
      <c r="F66" s="37"/>
      <c r="G66" s="242" t="s">
        <v>198</v>
      </c>
      <c r="H66" s="136"/>
      <c r="I66" s="133"/>
      <c r="J66" s="136"/>
      <c r="K66" s="137"/>
      <c r="L66" s="78"/>
      <c r="M66" s="78"/>
      <c r="N66" s="78"/>
      <c r="O66" s="243">
        <f>ROUND(IF($C$16&lt;1,0,(L59)/($C$16*100)*10000),2)</f>
        <v>0</v>
      </c>
      <c r="P66" s="25" t="s">
        <v>86</v>
      </c>
    </row>
    <row r="67" spans="1:16" x14ac:dyDescent="0.2">
      <c r="A67" s="37"/>
      <c r="B67" s="37"/>
      <c r="C67" s="37"/>
      <c r="D67" s="37"/>
      <c r="E67" s="37"/>
      <c r="F67" s="37"/>
      <c r="G67" s="96"/>
      <c r="H67" s="46"/>
      <c r="I67" s="96"/>
      <c r="J67" s="46"/>
      <c r="K67" s="36"/>
      <c r="L67" s="36"/>
      <c r="M67" s="36"/>
      <c r="N67" s="36"/>
      <c r="O67" s="130"/>
      <c r="P67" s="37"/>
    </row>
    <row r="68" spans="1:16" ht="20.25" customHeight="1" x14ac:dyDescent="0.3">
      <c r="A68" s="3"/>
      <c r="B68" s="37"/>
      <c r="C68" s="37"/>
      <c r="D68" s="228" t="str">
        <f>IF('Customer Info'!$C$33=TRUE,"Notice: Billing Charge does not include Self Assessed KWH Tax"," ")</f>
        <v xml:space="preserve"> </v>
      </c>
      <c r="E68" s="3"/>
      <c r="F68" s="4"/>
      <c r="G68" s="121"/>
      <c r="H68" s="55"/>
      <c r="I68" s="34"/>
      <c r="J68" s="55"/>
      <c r="K68" s="37"/>
      <c r="L68" s="37"/>
      <c r="M68" s="37"/>
      <c r="N68" s="34"/>
    </row>
    <row r="69" spans="1:16" x14ac:dyDescent="0.2">
      <c r="A69" s="37"/>
      <c r="B69" s="37"/>
      <c r="C69" s="37"/>
      <c r="D69" s="54"/>
      <c r="E69" s="3"/>
      <c r="F69" s="4"/>
      <c r="G69" s="55"/>
      <c r="H69" s="55"/>
      <c r="I69" s="93"/>
      <c r="J69" s="55"/>
      <c r="K69" s="37"/>
      <c r="L69" s="37"/>
      <c r="M69" s="37"/>
      <c r="N69" s="37"/>
      <c r="O69" s="40"/>
    </row>
    <row r="70" spans="1:16" x14ac:dyDescent="0.2">
      <c r="A70" s="37"/>
      <c r="B70" s="37"/>
      <c r="C70" s="37"/>
      <c r="D70" s="54"/>
      <c r="E70" s="3"/>
      <c r="F70" s="4"/>
      <c r="G70" s="55"/>
      <c r="H70" s="55"/>
      <c r="I70" s="55"/>
      <c r="J70" s="55"/>
      <c r="K70" s="37"/>
      <c r="L70" s="37"/>
      <c r="M70" s="37"/>
      <c r="N70" s="37"/>
      <c r="O70" s="40"/>
    </row>
    <row r="71" spans="1:16" x14ac:dyDescent="0.2">
      <c r="A71" s="41"/>
      <c r="B71" s="37"/>
      <c r="C71" s="37"/>
      <c r="D71" s="37"/>
      <c r="E71" s="37"/>
      <c r="F71" s="37"/>
      <c r="G71" s="37"/>
      <c r="H71" s="37"/>
      <c r="J71" s="37"/>
      <c r="K71" s="37"/>
      <c r="L71" s="40"/>
      <c r="M71" s="40"/>
      <c r="N71" s="40"/>
      <c r="O71" s="138"/>
    </row>
    <row r="72" spans="1:16" x14ac:dyDescent="0.2">
      <c r="B72" s="37"/>
      <c r="C72" s="37"/>
      <c r="D72" s="37"/>
      <c r="E72" s="37"/>
      <c r="F72" s="37"/>
      <c r="G72" s="96"/>
      <c r="H72" s="37"/>
      <c r="I72" s="37"/>
      <c r="J72" s="37"/>
      <c r="K72" s="37"/>
      <c r="L72" s="60"/>
      <c r="M72" s="60"/>
      <c r="N72" s="60"/>
      <c r="O72" s="130"/>
      <c r="P72" s="37"/>
    </row>
    <row r="73" spans="1:16" x14ac:dyDescent="0.2">
      <c r="G73" s="133"/>
      <c r="H73" s="56"/>
      <c r="I73" s="133"/>
      <c r="J73" s="56"/>
      <c r="K73" s="56"/>
      <c r="L73" s="134"/>
      <c r="M73" s="134"/>
      <c r="N73" s="134"/>
      <c r="O73" s="135"/>
      <c r="P73" s="25"/>
    </row>
    <row r="75" spans="1:16" x14ac:dyDescent="0.2">
      <c r="A75" s="547"/>
    </row>
    <row r="76" spans="1:16" x14ac:dyDescent="0.2">
      <c r="A76" s="547"/>
    </row>
    <row r="77" spans="1:16" x14ac:dyDescent="0.2">
      <c r="A77" s="547"/>
    </row>
    <row r="78" spans="1:16" x14ac:dyDescent="0.2">
      <c r="A78" s="547"/>
    </row>
    <row r="79" spans="1:16" x14ac:dyDescent="0.2">
      <c r="A79" s="547"/>
    </row>
    <row r="80" spans="1:1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sheetData>
  <sheetProtection algorithmName="SHA-512" hashValue="7O0cgJ0hRrPnajfr0edx6x+TquN/+iznE4lW89Lf6hUtehg2viXn8uifousFmp1rybhU541PCqzwdEJt2bVtYA==" saltValue="lE0O6t6oKOxdF6z3Q+nq2w==" spinCount="100000" sheet="1" objects="1" scenarios="1"/>
  <mergeCells count="26">
    <mergeCell ref="A75:A89"/>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23906" r:id="rId5" name="Button 2">
              <controlPr defaultSize="0" print="0" autoFill="0" autoPict="0" macro="[0]!Info">
                <anchor moveWithCells="1">
                  <from>
                    <xdr:col>15</xdr:col>
                    <xdr:colOff>276225</xdr:colOff>
                    <xdr:row>83</xdr:row>
                    <xdr:rowOff>47625</xdr:rowOff>
                  </from>
                  <to>
                    <xdr:col>16</xdr:col>
                    <xdr:colOff>28575</xdr:colOff>
                    <xdr:row>84</xdr:row>
                    <xdr:rowOff>85725</xdr:rowOff>
                  </to>
                </anchor>
              </controlPr>
            </control>
          </mc:Choice>
        </mc:AlternateContent>
        <mc:AlternateContent xmlns:mc="http://schemas.openxmlformats.org/markup-compatibility/2006">
          <mc:Choice Requires="x14">
            <control shapeId="12390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0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0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1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391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2391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2391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2392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2392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2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2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3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2393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2393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2393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2394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2394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4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4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5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2395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2395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2395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396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396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2396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2">
    <pageSetUpPr fitToPage="1"/>
  </sheetPr>
  <dimension ref="A1:IV88"/>
  <sheetViews>
    <sheetView showGridLines="0" topLeftCell="A8" zoomScale="80" zoomScaleNormal="80" workbookViewId="0">
      <selection activeCell="D41" sqref="D4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564" t="s">
        <v>119</v>
      </c>
      <c r="B1" s="564"/>
      <c r="C1" s="564"/>
      <c r="D1" s="564"/>
      <c r="E1" s="564"/>
      <c r="F1" s="564"/>
      <c r="G1" s="564"/>
      <c r="H1" s="564"/>
      <c r="I1" s="564"/>
      <c r="J1" s="564"/>
      <c r="K1" s="564"/>
      <c r="L1" s="564"/>
      <c r="M1" s="564"/>
      <c r="N1" s="564"/>
      <c r="O1" s="564"/>
      <c r="P1" s="564"/>
    </row>
    <row r="2" spans="1:256" ht="20.25" x14ac:dyDescent="0.3">
      <c r="A2" s="549" t="s">
        <v>122</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549"/>
      <c r="BO2" s="549"/>
      <c r="BP2" s="549"/>
      <c r="BQ2" s="549"/>
      <c r="BR2" s="549"/>
      <c r="BS2" s="549"/>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row>
    <row r="3" spans="1:256" ht="18" x14ac:dyDescent="0.25">
      <c r="A3" s="565" t="s">
        <v>281</v>
      </c>
      <c r="B3" s="565"/>
      <c r="C3" s="565"/>
      <c r="D3" s="565"/>
      <c r="E3" s="565"/>
      <c r="F3" s="565"/>
      <c r="G3" s="565"/>
      <c r="H3" s="565"/>
      <c r="I3" s="565"/>
      <c r="J3" s="565"/>
      <c r="K3" s="565"/>
      <c r="L3" s="565"/>
      <c r="M3" s="565"/>
      <c r="N3" s="565"/>
      <c r="O3" s="565"/>
      <c r="P3" s="565"/>
    </row>
    <row r="4" spans="1:256"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256" ht="15" x14ac:dyDescent="0.2">
      <c r="A5" s="75"/>
      <c r="B5" s="75"/>
      <c r="C5" s="75"/>
      <c r="D5" s="75"/>
      <c r="E5" s="75"/>
      <c r="F5" s="75"/>
      <c r="G5" s="75"/>
      <c r="H5" s="75"/>
      <c r="I5" s="75"/>
      <c r="J5" s="75"/>
      <c r="K5" s="75"/>
    </row>
    <row r="6" spans="1:256" x14ac:dyDescent="0.2">
      <c r="A6" s="76">
        <f ca="1">TODAY()</f>
        <v>45532</v>
      </c>
      <c r="B6" s="210" t="s">
        <v>301</v>
      </c>
      <c r="C6" s="274"/>
      <c r="D6" s="274"/>
      <c r="E6" s="274"/>
      <c r="F6" s="274"/>
      <c r="G6" s="274"/>
      <c r="H6" s="274"/>
      <c r="I6" s="274"/>
      <c r="J6" s="274"/>
      <c r="K6" s="274"/>
    </row>
    <row r="7" spans="1:256" ht="26.25" x14ac:dyDescent="0.4">
      <c r="A7" s="566"/>
      <c r="B7" s="566"/>
      <c r="C7" s="566"/>
      <c r="D7" s="566"/>
      <c r="E7" s="566"/>
      <c r="F7" s="566"/>
      <c r="G7" s="566"/>
      <c r="H7" s="566"/>
      <c r="I7" s="566"/>
      <c r="J7" s="566"/>
      <c r="K7" s="566"/>
      <c r="L7" s="566"/>
      <c r="M7" s="566"/>
      <c r="N7" s="566"/>
      <c r="O7" s="566"/>
      <c r="P7" s="566"/>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9</v>
      </c>
      <c r="C10" s="194" t="str">
        <f>LOOKUP(B10,R10:AD10,R11:AD11)</f>
        <v>September</v>
      </c>
      <c r="D10" s="133">
        <f>'Customer Info'!C9</f>
        <v>2024</v>
      </c>
      <c r="S10">
        <v>1</v>
      </c>
      <c r="T10">
        <v>2</v>
      </c>
      <c r="U10">
        <v>3</v>
      </c>
      <c r="V10">
        <v>4</v>
      </c>
      <c r="W10">
        <v>5</v>
      </c>
      <c r="X10">
        <v>6</v>
      </c>
      <c r="Y10">
        <v>7</v>
      </c>
      <c r="Z10">
        <v>8</v>
      </c>
      <c r="AA10">
        <v>9</v>
      </c>
      <c r="AB10">
        <v>10</v>
      </c>
      <c r="AC10">
        <v>11</v>
      </c>
      <c r="AD10">
        <v>12</v>
      </c>
    </row>
    <row r="11" spans="1:256" ht="15" customHeight="1" x14ac:dyDescent="0.2">
      <c r="A11" s="559"/>
      <c r="B11" s="559"/>
      <c r="C11" s="559"/>
      <c r="D11" s="559"/>
      <c r="E11" s="559"/>
      <c r="F11" s="559"/>
      <c r="G11" s="559"/>
      <c r="H11" s="559"/>
      <c r="I11" s="559"/>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
      <c r="A12" s="28" t="s">
        <v>27</v>
      </c>
      <c r="B12" s="22"/>
      <c r="C12" s="22"/>
      <c r="D12" s="22"/>
      <c r="E12" s="22"/>
      <c r="F12" s="22"/>
      <c r="G12" s="22"/>
      <c r="H12" s="22"/>
      <c r="I12" s="22"/>
      <c r="J12" s="22"/>
      <c r="K12" s="22"/>
      <c r="L12" s="22"/>
      <c r="M12" s="22"/>
      <c r="N12" s="22"/>
      <c r="O12" s="22"/>
      <c r="P12" s="22"/>
      <c r="R12" s="3" t="s">
        <v>195</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
      <c r="A13" s="18"/>
      <c r="B13" s="18"/>
      <c r="C13" s="59" t="s">
        <v>54</v>
      </c>
      <c r="D13" s="59" t="s">
        <v>55</v>
      </c>
      <c r="E13" s="18"/>
      <c r="F13" s="18"/>
      <c r="G13" s="18"/>
      <c r="H13" s="18"/>
      <c r="I13" s="18"/>
      <c r="J13" s="18"/>
      <c r="K13" s="18"/>
      <c r="L13" s="18"/>
      <c r="M13" s="18"/>
      <c r="N13" s="18"/>
      <c r="O13" s="18"/>
    </row>
    <row r="14" spans="1:256" x14ac:dyDescent="0.2">
      <c r="A14" s="29" t="s">
        <v>28</v>
      </c>
      <c r="B14" s="29"/>
      <c r="C14" s="44">
        <f>'Customer Info'!B19</f>
        <v>0</v>
      </c>
      <c r="D14" s="44">
        <f>ROUND(C14*C19,1)</f>
        <v>0</v>
      </c>
      <c r="E14" s="29" t="s">
        <v>45</v>
      </c>
      <c r="F14" s="30"/>
      <c r="G14" s="29" t="s">
        <v>15</v>
      </c>
      <c r="I14" s="53" t="s">
        <v>15</v>
      </c>
      <c r="J14" s="29"/>
      <c r="K14" s="29"/>
      <c r="L14" s="29"/>
      <c r="M14" s="29"/>
      <c r="N14" s="29"/>
    </row>
    <row r="15" spans="1:256" x14ac:dyDescent="0.2">
      <c r="A15" s="31" t="s">
        <v>29</v>
      </c>
      <c r="B15" s="31"/>
      <c r="C15" s="44">
        <f>'Customer Info'!B20</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Info'!B22+'Customer Info'!B23-'Customer Info'!B24&lt;0,0,'Customer Info'!B22+'Customer Info'!B23-'Customer Info'!B24)</f>
        <v>0</v>
      </c>
      <c r="D16" s="32">
        <f>C16*C19</f>
        <v>0</v>
      </c>
      <c r="E16" s="31" t="s">
        <v>41</v>
      </c>
      <c r="F16" s="33"/>
      <c r="G16" s="31"/>
      <c r="H16" s="31"/>
      <c r="I16" s="31"/>
      <c r="J16" s="31"/>
      <c r="K16" s="31"/>
      <c r="L16" s="31"/>
      <c r="M16" s="31"/>
      <c r="N16" s="31"/>
      <c r="O16" s="31"/>
    </row>
    <row r="17" spans="1:30" x14ac:dyDescent="0.2">
      <c r="A17" s="31" t="s">
        <v>129</v>
      </c>
      <c r="B17" s="31"/>
      <c r="C17" s="32">
        <f>'Customer Info'!$B$27</f>
        <v>0</v>
      </c>
      <c r="D17" s="32">
        <f>C17*C19</f>
        <v>0</v>
      </c>
      <c r="E17" s="31" t="s">
        <v>266</v>
      </c>
      <c r="F17" s="33"/>
      <c r="K17" s="31"/>
      <c r="L17" s="31"/>
      <c r="M17" s="31"/>
      <c r="N17" s="31"/>
    </row>
    <row r="18" spans="1:30" x14ac:dyDescent="0.2">
      <c r="A18" s="31" t="s">
        <v>265</v>
      </c>
      <c r="B18" s="31"/>
      <c r="C18" s="32"/>
      <c r="D18" s="32">
        <f>IF((D17-(ROUND(MAX(D14,D15)*0.5,1)))&lt;0,0,(D17-(ROUND(MAX(D14,D15)*0.5,1))))</f>
        <v>0</v>
      </c>
      <c r="E18" s="31" t="s">
        <v>269</v>
      </c>
      <c r="F18" s="33"/>
      <c r="K18" s="31"/>
      <c r="L18" s="31"/>
      <c r="M18" s="31"/>
      <c r="N18" s="31"/>
    </row>
    <row r="19" spans="1:30" x14ac:dyDescent="0.2">
      <c r="A19" s="31" t="s">
        <v>53</v>
      </c>
      <c r="B19" s="31"/>
      <c r="C19" s="58">
        <f>+'Customer Info'!E19</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68" t="s">
        <v>15</v>
      </c>
      <c r="E20" s="568"/>
      <c r="F20" s="568"/>
      <c r="G20" s="568"/>
      <c r="H20" s="568"/>
      <c r="K20" s="31"/>
      <c r="L20" s="31"/>
      <c r="M20" s="31"/>
      <c r="N20" s="31"/>
      <c r="O20" s="50"/>
    </row>
    <row r="21" spans="1:30" x14ac:dyDescent="0.2">
      <c r="A21" s="31" t="s">
        <v>15</v>
      </c>
      <c r="B21" s="31"/>
      <c r="C21" s="82" t="s">
        <v>15</v>
      </c>
      <c r="D21" s="568" t="s">
        <v>15</v>
      </c>
      <c r="E21" s="568"/>
      <c r="F21" s="568"/>
      <c r="G21" s="568"/>
      <c r="H21" s="568"/>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560" t="s">
        <v>67</v>
      </c>
      <c r="H23" s="561"/>
      <c r="I23" s="561"/>
      <c r="J23" s="562"/>
      <c r="K23" s="22"/>
      <c r="L23" s="563" t="s">
        <v>68</v>
      </c>
      <c r="M23" s="563"/>
      <c r="N23" s="563"/>
      <c r="O23" s="563"/>
    </row>
    <row r="24" spans="1:30" x14ac:dyDescent="0.2">
      <c r="A24" s="18"/>
      <c r="B24" s="18"/>
      <c r="C24" s="18"/>
      <c r="D24" s="18"/>
      <c r="E24" s="18"/>
      <c r="F24" s="18"/>
      <c r="G24" s="8" t="s">
        <v>64</v>
      </c>
      <c r="H24" s="8" t="s">
        <v>65</v>
      </c>
      <c r="I24" s="8" t="s">
        <v>66</v>
      </c>
      <c r="J24" s="112" t="s">
        <v>34</v>
      </c>
      <c r="K24" s="18"/>
      <c r="L24" s="131" t="s">
        <v>64</v>
      </c>
      <c r="M24" s="131" t="s">
        <v>65</v>
      </c>
      <c r="N24" s="131" t="s">
        <v>66</v>
      </c>
      <c r="O24" s="132" t="s">
        <v>34</v>
      </c>
      <c r="P24" s="43" t="s">
        <v>56</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Info'!B15-100)*0.6,('Customer Info'!B17-100)*0.6),1)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270</v>
      </c>
      <c r="D28" s="49">
        <f>D18</f>
        <v>0</v>
      </c>
      <c r="E28" s="29" t="s">
        <v>268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69</v>
      </c>
      <c r="D31" s="1"/>
      <c r="E31" s="1"/>
      <c r="K31" s="36"/>
      <c r="L31" s="36"/>
      <c r="M31" s="36"/>
      <c r="N31" s="36"/>
      <c r="O31" s="34"/>
      <c r="P31" s="34"/>
    </row>
    <row r="32" spans="1:30" x14ac:dyDescent="0.2">
      <c r="A32" s="37"/>
      <c r="D32" s="1"/>
      <c r="E32" s="1"/>
      <c r="K32" s="36"/>
      <c r="L32" s="36"/>
      <c r="M32" s="36"/>
      <c r="N32" s="36"/>
      <c r="O32" s="34"/>
    </row>
    <row r="33" spans="1:221" x14ac:dyDescent="0.2">
      <c r="A33" s="78" t="s">
        <v>78</v>
      </c>
      <c r="D33" s="1">
        <f>IF($C$16&lt;0,0,IF($C$16&gt;833000,833000,$C$16))</f>
        <v>0</v>
      </c>
      <c r="E33" s="35" t="s">
        <v>41</v>
      </c>
      <c r="F33" s="4" t="s">
        <v>8</v>
      </c>
      <c r="G33" s="83"/>
      <c r="H33" s="84"/>
      <c r="I33" s="103">
        <f>'Rider Rates'!$B$4</f>
        <v>5.9216E-3</v>
      </c>
      <c r="J33" s="6">
        <f>SUM(G33:I33)</f>
        <v>5.9216E-3</v>
      </c>
      <c r="K33" s="36" t="s">
        <v>42</v>
      </c>
      <c r="L33" s="87"/>
      <c r="M33" s="87"/>
      <c r="N33" s="87">
        <f>ROUND($D33*I33,2)</f>
        <v>0</v>
      </c>
      <c r="O33" s="87">
        <f t="shared" ref="O33:O41" si="0">SUM(L33:N33)</f>
        <v>0</v>
      </c>
      <c r="P33" s="245">
        <f>'Rider Rates'!$D$4</f>
        <v>45293</v>
      </c>
    </row>
    <row r="34" spans="1:221" x14ac:dyDescent="0.2">
      <c r="A34" s="78" t="s">
        <v>79</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 t="shared" si="0"/>
        <v>0</v>
      </c>
      <c r="P34" s="245">
        <f>'Rider Rates'!$D$4</f>
        <v>45293</v>
      </c>
    </row>
    <row r="35" spans="1:221" x14ac:dyDescent="0.2">
      <c r="A35" s="78" t="s">
        <v>47</v>
      </c>
      <c r="B35" t="s">
        <v>15</v>
      </c>
      <c r="D35" s="1">
        <f>IF('Customer Info'!$C$33=TRUE,0,IF(C16&lt;0,0,IF(C16&gt;2000,2000,C16)))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 t="shared" si="0"/>
        <v>0</v>
      </c>
      <c r="P35" s="245">
        <f>'Rider Rates'!$D$7</f>
        <v>44531</v>
      </c>
    </row>
    <row r="36" spans="1:221" x14ac:dyDescent="0.2">
      <c r="A36" s="78" t="s">
        <v>48</v>
      </c>
      <c r="B36" t="s">
        <v>15</v>
      </c>
      <c r="D36" s="1">
        <f>IF('Customer Info'!$C$33=TRUE,0,IF(C16&gt;15000,13000,IF(C16&gt;2000,C16-2000,0)))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 t="shared" si="0"/>
        <v>0</v>
      </c>
      <c r="P36" s="245">
        <f>'Rider Rates'!$D$7</f>
        <v>44531</v>
      </c>
    </row>
    <row r="37" spans="1:221" x14ac:dyDescent="0.2">
      <c r="A37" s="78" t="s">
        <v>49</v>
      </c>
      <c r="B37" t="s">
        <v>15</v>
      </c>
      <c r="D37" s="1">
        <f>IF('Customer Info'!$C$33=TRUE,0,IF(C16-D35-D36&gt;0,C16-D35-D36,0))</f>
        <v>0</v>
      </c>
      <c r="E37" s="35" t="s">
        <v>41</v>
      </c>
      <c r="F37" s="4" t="s">
        <v>8</v>
      </c>
      <c r="G37" s="83"/>
      <c r="H37" s="84"/>
      <c r="I37" s="177">
        <f>'Rider Rates'!$B$10</f>
        <v>3.63E-3</v>
      </c>
      <c r="J37" s="117">
        <f>SUM(G37:I37)</f>
        <v>3.63E-3</v>
      </c>
      <c r="K37" s="36" t="s">
        <v>42</v>
      </c>
      <c r="L37" s="87"/>
      <c r="M37" s="87"/>
      <c r="N37" s="87">
        <f>ROUND($D37*I37,2)</f>
        <v>0</v>
      </c>
      <c r="O37" s="87">
        <f t="shared" si="0"/>
        <v>0</v>
      </c>
      <c r="P37" s="245">
        <f>'Rider Rates'!$D$7</f>
        <v>44531</v>
      </c>
    </row>
    <row r="38" spans="1:221" x14ac:dyDescent="0.2">
      <c r="A38" s="241" t="s">
        <v>245</v>
      </c>
      <c r="B38" s="78"/>
      <c r="C38" s="78"/>
      <c r="D38" s="208">
        <f>$N$29</f>
        <v>825</v>
      </c>
      <c r="E38" s="101" t="s">
        <v>121</v>
      </c>
      <c r="F38" s="102" t="s">
        <v>8</v>
      </c>
      <c r="G38" s="103"/>
      <c r="H38" s="103"/>
      <c r="I38" s="178">
        <f>'Rider Rates'!$B$18+'Rider Rates'!$E$18</f>
        <v>0</v>
      </c>
      <c r="J38" s="120">
        <f>SUM(H38:I38)</f>
        <v>0</v>
      </c>
      <c r="K38" s="104"/>
      <c r="L38" s="105"/>
      <c r="M38" s="105"/>
      <c r="N38" s="105">
        <f>ROUND($D$38*'Rider Rates'!$B$18,2)+ROUND($D$38*'Rider Rates'!$E$18,2)</f>
        <v>0</v>
      </c>
      <c r="O38" s="105">
        <f t="shared" si="0"/>
        <v>0</v>
      </c>
      <c r="P38" s="245">
        <f>MAX('Rider Rates'!$D$18,'Rider Rates'!$F$18)</f>
        <v>44531</v>
      </c>
    </row>
    <row r="39" spans="1:221" x14ac:dyDescent="0.2">
      <c r="A39" s="241" t="s">
        <v>218</v>
      </c>
      <c r="B39" s="78"/>
      <c r="C39" s="78"/>
      <c r="D39" s="1">
        <f>IF($C$16&lt;0,0,IF($C$16&gt;833000,833000,$C$16))</f>
        <v>0</v>
      </c>
      <c r="E39" s="101" t="s">
        <v>41</v>
      </c>
      <c r="F39" s="102" t="s">
        <v>8</v>
      </c>
      <c r="G39" s="103"/>
      <c r="H39" s="103"/>
      <c r="I39" s="103">
        <f>'Rider Rates'!D53</f>
        <v>1.8006999999999999E-3</v>
      </c>
      <c r="J39" s="103">
        <f>SUM(G39:I39)</f>
        <v>1.8006999999999999E-3</v>
      </c>
      <c r="K39" s="104" t="s">
        <v>42</v>
      </c>
      <c r="L39" s="105"/>
      <c r="M39" s="105"/>
      <c r="N39" s="87">
        <f>D39*J39</f>
        <v>0</v>
      </c>
      <c r="O39" s="105">
        <f t="shared" si="0"/>
        <v>0</v>
      </c>
      <c r="P39" s="245">
        <f>'Rider Rates'!E53</f>
        <v>45474</v>
      </c>
    </row>
    <row r="40" spans="1:221" x14ac:dyDescent="0.2">
      <c r="A40" s="210" t="s">
        <v>197</v>
      </c>
      <c r="B40" s="78"/>
      <c r="C40" s="78"/>
      <c r="D40" s="1">
        <f>IF($C$16&lt;0,0,$C$16)</f>
        <v>0</v>
      </c>
      <c r="E40" s="113" t="s">
        <v>41</v>
      </c>
      <c r="F40" s="102" t="s">
        <v>8</v>
      </c>
      <c r="G40" s="103"/>
      <c r="H40" s="103">
        <f>'Rider Rates'!$B$63</f>
        <v>5.7019999999999998E-4</v>
      </c>
      <c r="I40" s="103"/>
      <c r="J40" s="103">
        <f>SUM(G40:I40)</f>
        <v>5.7019999999999998E-4</v>
      </c>
      <c r="K40" s="104" t="s">
        <v>42</v>
      </c>
      <c r="L40" s="105"/>
      <c r="M40" s="105">
        <f>ROUND(D40*H40,2)</f>
        <v>0</v>
      </c>
      <c r="N40" s="205"/>
      <c r="O40" s="105">
        <f t="shared" si="0"/>
        <v>0</v>
      </c>
      <c r="P40" s="245">
        <f>'Rider Rates'!$D$63</f>
        <v>45383</v>
      </c>
    </row>
    <row r="41" spans="1:221" x14ac:dyDescent="0.2">
      <c r="A41" s="210" t="s">
        <v>197</v>
      </c>
      <c r="B41" s="78"/>
      <c r="C41" s="78"/>
      <c r="D41" s="49">
        <f>D14</f>
        <v>0</v>
      </c>
      <c r="E41" s="35" t="s">
        <v>63</v>
      </c>
      <c r="F41" s="4" t="s">
        <v>8</v>
      </c>
      <c r="G41" s="103"/>
      <c r="H41" s="239">
        <f>'Rider Rates'!$B$68</f>
        <v>7.45</v>
      </c>
      <c r="I41" s="103"/>
      <c r="J41" s="239">
        <f>SUM(G41:I41)</f>
        <v>7.45</v>
      </c>
      <c r="K41" s="104" t="s">
        <v>44</v>
      </c>
      <c r="L41" s="105"/>
      <c r="M41" s="105">
        <f>ROUND(D41*H41,2)</f>
        <v>0</v>
      </c>
      <c r="N41" s="205"/>
      <c r="O41" s="105">
        <f t="shared" si="0"/>
        <v>0</v>
      </c>
      <c r="P41" s="245">
        <f>'Rider Rates'!$D$68</f>
        <v>45383</v>
      </c>
    </row>
    <row r="42" spans="1:221" x14ac:dyDescent="0.2">
      <c r="A42" s="99" t="s">
        <v>82</v>
      </c>
      <c r="B42" s="78"/>
      <c r="C42" s="78"/>
      <c r="D42" s="1">
        <f>IF('Customer Info'!C35=TRUE,0,IF($C$16&lt;0,0,$C$16))</f>
        <v>0</v>
      </c>
      <c r="E42" s="101" t="s">
        <v>41</v>
      </c>
      <c r="F42" s="102" t="s">
        <v>8</v>
      </c>
      <c r="G42" s="103"/>
      <c r="H42" s="103"/>
      <c r="I42" s="103">
        <f>'Rider Rates'!$B$75+'Rider Rates'!$C$75</f>
        <v>0</v>
      </c>
      <c r="J42" s="103">
        <f>SUM(G42:I42)</f>
        <v>0</v>
      </c>
      <c r="K42" s="104" t="s">
        <v>42</v>
      </c>
      <c r="L42" s="105"/>
      <c r="M42" s="105"/>
      <c r="N42" s="87">
        <f>ROUND($D$42*'Rider Rates'!$B$75,2)+ROUND($D$42*'Rider Rates'!$C$75,2)</f>
        <v>0</v>
      </c>
      <c r="O42" s="209">
        <f t="shared" ref="O42:O47" si="1">SUM(L42:N42)</f>
        <v>0</v>
      </c>
      <c r="P42" s="245">
        <f>'Rider Rates'!$D$75</f>
        <v>44531</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82</v>
      </c>
      <c r="B43" s="78"/>
      <c r="C43" s="78"/>
      <c r="D43" s="49">
        <f>D14</f>
        <v>0</v>
      </c>
      <c r="E43" s="101" t="s">
        <v>45</v>
      </c>
      <c r="F43" s="102" t="s">
        <v>8</v>
      </c>
      <c r="G43" s="103"/>
      <c r="H43" s="103"/>
      <c r="I43" s="239">
        <f>'Rider Rates'!$B$85</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80</v>
      </c>
      <c r="B44" s="78"/>
      <c r="C44" s="78"/>
      <c r="D44" s="208">
        <f>$N$29</f>
        <v>825</v>
      </c>
      <c r="E44" s="101" t="s">
        <v>121</v>
      </c>
      <c r="F44" s="102" t="s">
        <v>8</v>
      </c>
      <c r="G44" s="111"/>
      <c r="H44" s="112"/>
      <c r="I44" s="120">
        <f>'Rider Rates'!$B$89</f>
        <v>2.9347000000000002E-2</v>
      </c>
      <c r="J44" s="120">
        <f>SUM(H44:I44)</f>
        <v>2.9347000000000002E-2</v>
      </c>
      <c r="K44" s="104"/>
      <c r="L44" s="105"/>
      <c r="M44" s="105"/>
      <c r="N44" s="105">
        <f>ROUND(N$29*I44,2)</f>
        <v>24.21</v>
      </c>
      <c r="O44" s="209">
        <f t="shared" si="1"/>
        <v>24.21</v>
      </c>
      <c r="P44" s="245">
        <f>'Rider Rates'!$D$89</f>
        <v>45383</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$N$29</f>
        <v>825</v>
      </c>
      <c r="E45" s="101" t="s">
        <v>121</v>
      </c>
      <c r="F45" s="102" t="s">
        <v>8</v>
      </c>
      <c r="G45" s="114"/>
      <c r="H45" s="115"/>
      <c r="I45" s="120">
        <f>'Rider Rates'!$B$91</f>
        <v>6.6985699999999995E-2</v>
      </c>
      <c r="J45" s="120">
        <f>SUM(H45:I45)</f>
        <v>6.6985699999999995E-2</v>
      </c>
      <c r="K45" s="104"/>
      <c r="L45" s="105"/>
      <c r="M45" s="105"/>
      <c r="N45" s="105">
        <f>ROUND(N$29*I45,2)</f>
        <v>55.26</v>
      </c>
      <c r="O45" s="209">
        <f t="shared" si="1"/>
        <v>55.26</v>
      </c>
      <c r="P45" s="245">
        <f>'Rider Rates'!$D$91</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214</v>
      </c>
      <c r="B46" s="78"/>
      <c r="C46" s="78"/>
      <c r="D46" s="195"/>
      <c r="E46" s="113" t="s">
        <v>114</v>
      </c>
      <c r="F46" s="106"/>
      <c r="G46" s="114"/>
      <c r="H46" s="115"/>
      <c r="I46" s="196">
        <f>'Rider Rates'!$B$95</f>
        <v>11.97</v>
      </c>
      <c r="J46" s="196">
        <f>SUM(G46:I46)</f>
        <v>11.97</v>
      </c>
      <c r="K46" s="104"/>
      <c r="L46" s="105"/>
      <c r="M46" s="105"/>
      <c r="N46" s="105">
        <f>I46</f>
        <v>11.97</v>
      </c>
      <c r="O46" s="105">
        <f>SUM(L46:N46)</f>
        <v>11.97</v>
      </c>
      <c r="P46" s="245">
        <f>'Rider Rates'!$D$95</f>
        <v>45442</v>
      </c>
    </row>
    <row r="47" spans="1:221" x14ac:dyDescent="0.2">
      <c r="A47" s="99" t="s">
        <v>156</v>
      </c>
      <c r="B47" s="78"/>
      <c r="C47" s="78"/>
      <c r="D47" s="208">
        <f>$N$29</f>
        <v>825</v>
      </c>
      <c r="E47" s="101" t="s">
        <v>121</v>
      </c>
      <c r="F47" s="102" t="s">
        <v>8</v>
      </c>
      <c r="G47" s="114"/>
      <c r="H47" s="115"/>
      <c r="I47" s="120">
        <f>'Rider Rates'!$B$109</f>
        <v>0.211176</v>
      </c>
      <c r="J47" s="120">
        <f>SUM(H47:I47)</f>
        <v>0.211176</v>
      </c>
      <c r="K47" s="104"/>
      <c r="L47" s="105"/>
      <c r="M47" s="105"/>
      <c r="N47" s="105">
        <f>ROUND(N$29*I47,2)</f>
        <v>174.22</v>
      </c>
      <c r="O47" s="105">
        <f t="shared" si="1"/>
        <v>174.22</v>
      </c>
      <c r="P47" s="245">
        <f>'Rider Rates'!$D$109</f>
        <v>45532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114</v>
      </c>
      <c r="F48" s="106"/>
      <c r="G48" s="114"/>
      <c r="H48" s="115"/>
      <c r="I48" s="196">
        <f>'Rider Rates'!$B$113</f>
        <v>0</v>
      </c>
      <c r="J48" s="196">
        <f t="shared" ref="J48:J54" si="2">SUM(G48:I48)</f>
        <v>0</v>
      </c>
      <c r="K48" s="104"/>
      <c r="L48" s="105"/>
      <c r="M48" s="105"/>
      <c r="N48" s="105">
        <f>I48</f>
        <v>0</v>
      </c>
      <c r="O48" s="105">
        <f t="shared" ref="O48:O54" si="3">SUM(L48:N48)</f>
        <v>0</v>
      </c>
      <c r="P48" s="245">
        <f>'Rider Rates'!$D$113</f>
        <v>44894</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225</v>
      </c>
      <c r="B49" s="78"/>
      <c r="C49" s="78"/>
      <c r="D49" s="195"/>
      <c r="E49" s="113" t="s">
        <v>114</v>
      </c>
      <c r="F49" s="106"/>
      <c r="G49" s="114"/>
      <c r="H49" s="115"/>
      <c r="I49" s="258">
        <f>'Rider Rates'!B126</f>
        <v>5.83</v>
      </c>
      <c r="J49" s="196">
        <f t="shared" si="2"/>
        <v>5.83</v>
      </c>
      <c r="K49" s="104"/>
      <c r="L49" s="105"/>
      <c r="M49" s="105"/>
      <c r="N49" s="260">
        <f>I49</f>
        <v>5.83</v>
      </c>
      <c r="O49" s="105">
        <f t="shared" si="3"/>
        <v>5.83</v>
      </c>
      <c r="P49" s="245">
        <f>'Rider Rates'!D126</f>
        <v>45226</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216</v>
      </c>
      <c r="B50" s="78"/>
      <c r="C50" s="78"/>
      <c r="D50" s="1">
        <f>IF($C$16&lt;1,0,$C$16)</f>
        <v>0</v>
      </c>
      <c r="E50" s="101" t="s">
        <v>41</v>
      </c>
      <c r="F50" s="249" t="s">
        <v>8</v>
      </c>
      <c r="G50" s="165"/>
      <c r="H50" s="165"/>
      <c r="I50" s="251">
        <f>'Rider Rates'!B122</f>
        <v>-6.2E-4</v>
      </c>
      <c r="J50" s="251">
        <f t="shared" si="2"/>
        <v>-6.2E-4</v>
      </c>
      <c r="K50" s="104" t="s">
        <v>42</v>
      </c>
      <c r="L50" s="105"/>
      <c r="M50" s="105"/>
      <c r="N50" s="105">
        <f>D50*I50</f>
        <v>0</v>
      </c>
      <c r="O50" s="105">
        <f t="shared" si="3"/>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241</v>
      </c>
      <c r="B51" s="78"/>
      <c r="C51" s="78"/>
      <c r="D51" s="100">
        <f>IF(C16&lt;0,0,IF(C16&gt;833000,833000,C16))</f>
        <v>0</v>
      </c>
      <c r="E51" s="101" t="s">
        <v>41</v>
      </c>
      <c r="F51" s="102" t="s">
        <v>8</v>
      </c>
      <c r="G51" s="265"/>
      <c r="H51" s="265"/>
      <c r="I51" s="265">
        <f>'Rider Rates'!$B$130</f>
        <v>2.9050000000000001E-4</v>
      </c>
      <c r="J51" s="265">
        <f t="shared" si="2"/>
        <v>2.9050000000000001E-4</v>
      </c>
      <c r="K51" s="104" t="s">
        <v>42</v>
      </c>
      <c r="L51" s="266"/>
      <c r="M51" s="266"/>
      <c r="N51" s="266">
        <f>IF(D51*J51&gt;'Rider Rates'!$C$130,'Rider Rates'!$C$130,D51*J51)</f>
        <v>0</v>
      </c>
      <c r="O51" s="266">
        <f t="shared" si="3"/>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242</v>
      </c>
      <c r="B52" s="78"/>
      <c r="C52" s="78"/>
      <c r="D52" s="123">
        <f>IF(C16&gt;833000,C16-833000,0)</f>
        <v>0</v>
      </c>
      <c r="E52" s="101" t="s">
        <v>41</v>
      </c>
      <c r="F52" s="102" t="s">
        <v>8</v>
      </c>
      <c r="G52" s="265"/>
      <c r="H52" s="265"/>
      <c r="I52" s="265">
        <f>'Rider Rates'!$B$131</f>
        <v>0</v>
      </c>
      <c r="J52" s="265">
        <f t="shared" si="2"/>
        <v>0</v>
      </c>
      <c r="K52" s="104" t="s">
        <v>42</v>
      </c>
      <c r="L52" s="266"/>
      <c r="M52" s="266"/>
      <c r="N52" s="266">
        <f>D52*J52</f>
        <v>0</v>
      </c>
      <c r="O52" s="266">
        <f t="shared" si="3"/>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250</v>
      </c>
      <c r="B53" s="78"/>
      <c r="C53" s="78"/>
      <c r="D53" s="100">
        <f>D16</f>
        <v>0</v>
      </c>
      <c r="E53" s="101" t="s">
        <v>41</v>
      </c>
      <c r="F53" s="249" t="s">
        <v>8</v>
      </c>
      <c r="G53" s="103"/>
      <c r="H53" s="103"/>
      <c r="I53" s="103">
        <f>'Rider Rates'!$B$137</f>
        <v>0</v>
      </c>
      <c r="J53" s="237">
        <f t="shared" si="2"/>
        <v>0</v>
      </c>
      <c r="K53" s="104" t="s">
        <v>42</v>
      </c>
      <c r="L53" s="105"/>
      <c r="M53" s="105"/>
      <c r="N53" s="105">
        <f>D53*J53</f>
        <v>0</v>
      </c>
      <c r="O53" s="105">
        <f t="shared" si="3"/>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249</v>
      </c>
      <c r="B54" s="78"/>
      <c r="C54" s="78"/>
      <c r="D54" s="100"/>
      <c r="E54" s="101" t="s">
        <v>114</v>
      </c>
      <c r="F54" s="102" t="s">
        <v>8</v>
      </c>
      <c r="G54" s="263"/>
      <c r="H54" s="263"/>
      <c r="I54" s="263">
        <f>'Rider Rates'!$B$142</f>
        <v>0</v>
      </c>
      <c r="J54" s="263">
        <f t="shared" si="2"/>
        <v>0</v>
      </c>
      <c r="K54" s="104"/>
      <c r="L54" s="209"/>
      <c r="M54" s="209"/>
      <c r="N54" s="209">
        <f>J54</f>
        <v>0</v>
      </c>
      <c r="O54" s="209">
        <f t="shared" si="3"/>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70</v>
      </c>
      <c r="B56" s="148"/>
      <c r="C56" s="148"/>
      <c r="D56" s="180"/>
      <c r="E56" s="181"/>
      <c r="F56" s="182"/>
      <c r="G56" s="182"/>
      <c r="H56" s="182"/>
      <c r="I56" s="182"/>
      <c r="J56" s="182"/>
      <c r="K56" s="183"/>
      <c r="L56" s="169">
        <f>SUM(L33:L55)</f>
        <v>0</v>
      </c>
      <c r="M56" s="169">
        <f>SUM(M33:M55)</f>
        <v>0</v>
      </c>
      <c r="N56" s="169">
        <f>SUM(N33:N55)</f>
        <v>271.48999999999995</v>
      </c>
      <c r="O56" s="169">
        <f>SUM(O33:O55)</f>
        <v>271.48999999999995</v>
      </c>
      <c r="P56" s="184"/>
    </row>
    <row r="57" spans="1:221" x14ac:dyDescent="0.2">
      <c r="A57" s="37"/>
      <c r="D57" s="1"/>
      <c r="E57" s="35"/>
      <c r="F57" s="4"/>
      <c r="G57" s="42"/>
      <c r="H57" s="42"/>
      <c r="I57" s="42"/>
      <c r="J57" s="42"/>
      <c r="K57" s="36"/>
      <c r="L57" s="36"/>
      <c r="M57" s="36"/>
      <c r="N57" s="36"/>
      <c r="O57" s="34"/>
      <c r="P57" s="36"/>
    </row>
    <row r="58" spans="1:221" x14ac:dyDescent="0.2">
      <c r="A58" s="81" t="s">
        <v>71</v>
      </c>
      <c r="B58" s="92"/>
      <c r="C58" s="92"/>
      <c r="D58" s="92"/>
      <c r="E58" s="92"/>
      <c r="F58" s="92"/>
      <c r="G58" s="92"/>
      <c r="H58" s="92"/>
      <c r="I58" s="92"/>
      <c r="J58" s="92"/>
      <c r="K58" s="92"/>
      <c r="L58" s="98">
        <f>L29+L56</f>
        <v>0</v>
      </c>
      <c r="M58" s="98">
        <f>M29+M56</f>
        <v>0</v>
      </c>
      <c r="N58" s="98">
        <f>N29+N56</f>
        <v>1096.49</v>
      </c>
      <c r="O58" s="98">
        <f>O29+O56</f>
        <v>1096.49</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O25+O27+O56</f>
        <v>1096.49</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116</v>
      </c>
      <c r="B62" s="37"/>
      <c r="C62" s="37"/>
      <c r="D62" s="37"/>
      <c r="E62" s="37"/>
      <c r="F62" s="37"/>
      <c r="G62" s="46"/>
      <c r="H62" s="46"/>
      <c r="I62" s="46"/>
      <c r="J62" s="46"/>
      <c r="K62" s="36"/>
      <c r="L62" s="36"/>
      <c r="M62" s="36"/>
      <c r="N62" s="36"/>
      <c r="O62" s="138">
        <f>MAX($O$58,$O$60)</f>
        <v>1096.49</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85</v>
      </c>
      <c r="H64" s="46"/>
      <c r="I64" s="37"/>
      <c r="J64" s="46"/>
      <c r="K64" s="36"/>
      <c r="L64" s="191"/>
      <c r="M64" s="191"/>
      <c r="N64" s="191"/>
      <c r="O64" s="191">
        <f>ROUND(IF($C$16&lt;1,0,$O$62/($C$16*100)*10000),2)</f>
        <v>0</v>
      </c>
      <c r="P64" s="37" t="s">
        <v>86</v>
      </c>
    </row>
    <row r="65" spans="1:16" x14ac:dyDescent="0.2">
      <c r="A65" s="37"/>
      <c r="B65" s="37"/>
      <c r="C65" s="37"/>
      <c r="D65" s="37"/>
      <c r="E65" s="37"/>
      <c r="F65" s="37"/>
      <c r="G65" s="242" t="s">
        <v>198</v>
      </c>
      <c r="H65" s="136"/>
      <c r="I65" s="133"/>
      <c r="J65" s="136"/>
      <c r="K65" s="137"/>
      <c r="L65" s="78"/>
      <c r="M65" s="78"/>
      <c r="N65" s="78"/>
      <c r="O65" s="243">
        <f>ROUND(IF($C$16&lt;1,0,(L58)/($C$16*100)*10000),2)</f>
        <v>0</v>
      </c>
      <c r="P65" s="25" t="s">
        <v>86</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547"/>
    </row>
    <row r="75" spans="1:16" x14ac:dyDescent="0.2">
      <c r="A75" s="547"/>
    </row>
    <row r="76" spans="1:16" x14ac:dyDescent="0.2">
      <c r="A76" s="547"/>
    </row>
    <row r="77" spans="1:16" x14ac:dyDescent="0.2">
      <c r="A77" s="547"/>
    </row>
    <row r="78" spans="1:16" x14ac:dyDescent="0.2">
      <c r="A78" s="547"/>
    </row>
    <row r="79" spans="1:16" x14ac:dyDescent="0.2">
      <c r="A79" s="547"/>
    </row>
    <row r="80" spans="1:1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sheetData>
  <sheetProtection algorithmName="SHA-512" hashValue="oykhgbyXwGIkfo862N+p+Ildv2m7VeKU54N8evxXRUNAOwwGtfkUQkMEc/SIT7S1nw+NPGJOYVlWPjuQIB8bIQ==" saltValue="7KLZF1JbFW4+5tO+rEYGgQ==" spinCount="100000" sheet="1" objects="1" scenarios="1"/>
  <mergeCells count="26">
    <mergeCell ref="A74:A88"/>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activeCell="G38" sqref="G38:G56"/>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49" t="s">
        <v>119</v>
      </c>
      <c r="B1" s="549"/>
      <c r="C1" s="549"/>
      <c r="D1" s="549"/>
      <c r="E1" s="549"/>
      <c r="F1" s="549"/>
      <c r="G1" s="549"/>
      <c r="H1" s="549"/>
      <c r="I1" s="549"/>
      <c r="J1" s="549"/>
      <c r="K1" s="549"/>
      <c r="L1" s="549"/>
      <c r="M1" s="549"/>
      <c r="N1" s="549"/>
      <c r="O1" s="549"/>
      <c r="P1" s="549"/>
      <c r="Q1" s="197"/>
    </row>
    <row r="2" spans="1:59" ht="18" customHeight="1" x14ac:dyDescent="0.2">
      <c r="A2" s="558" t="s">
        <v>115</v>
      </c>
      <c r="B2" s="558"/>
      <c r="C2" s="558"/>
      <c r="D2" s="558"/>
      <c r="E2" s="558"/>
      <c r="F2" s="558"/>
      <c r="G2" s="558"/>
      <c r="H2" s="558"/>
      <c r="I2" s="558"/>
      <c r="J2" s="558"/>
      <c r="K2" s="558"/>
      <c r="L2" s="558"/>
      <c r="M2" s="558"/>
      <c r="N2" s="558"/>
      <c r="O2" s="558"/>
      <c r="P2" s="558"/>
    </row>
    <row r="3" spans="1:59" ht="18" x14ac:dyDescent="0.25">
      <c r="A3" s="558"/>
      <c r="B3" s="558"/>
      <c r="C3" s="558"/>
      <c r="D3" s="558"/>
      <c r="E3" s="558"/>
      <c r="F3" s="558"/>
      <c r="G3" s="558"/>
      <c r="H3" s="558"/>
      <c r="I3" s="558"/>
      <c r="J3" s="558"/>
      <c r="K3" s="558"/>
      <c r="L3" s="558"/>
      <c r="M3" s="558"/>
      <c r="N3" s="558"/>
      <c r="O3" s="558"/>
      <c r="P3" s="558"/>
      <c r="Q3" s="198"/>
    </row>
    <row r="4" spans="1:59"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45532</v>
      </c>
      <c r="B6" s="557" t="s">
        <v>243</v>
      </c>
      <c r="C6" s="557"/>
      <c r="D6" s="557"/>
      <c r="E6" s="557"/>
      <c r="F6" s="557"/>
      <c r="G6" s="557"/>
      <c r="H6" s="557"/>
      <c r="I6" s="557"/>
      <c r="J6" s="557"/>
      <c r="K6" s="557"/>
      <c r="L6" s="557"/>
      <c r="M6" s="557"/>
      <c r="N6" s="557"/>
      <c r="O6" s="557"/>
    </row>
    <row r="7" spans="1:59" x14ac:dyDescent="0.2">
      <c r="A7" s="548" t="s">
        <v>15</v>
      </c>
      <c r="B7" s="548"/>
      <c r="C7" s="548"/>
      <c r="D7" s="548"/>
      <c r="E7" s="548"/>
      <c r="F7" s="548"/>
      <c r="G7" s="548"/>
      <c r="H7" s="548"/>
      <c r="I7" s="548"/>
      <c r="J7" s="548"/>
      <c r="K7" s="548"/>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9</v>
      </c>
      <c r="C11" s="194" t="str">
        <f>LOOKUP($B$11,$S$11:$AD$11,S12:AD12)</f>
        <v>September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4" t="s">
        <v>67</v>
      </c>
      <c r="H23" s="555"/>
      <c r="I23" s="555"/>
      <c r="J23" s="556"/>
      <c r="K23" s="159"/>
      <c r="L23" s="551" t="s">
        <v>68</v>
      </c>
      <c r="M23" s="552"/>
      <c r="N23" s="552"/>
      <c r="O23" s="55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78</v>
      </c>
      <c r="B31" s="176"/>
      <c r="C31" s="176"/>
      <c r="D31" s="100">
        <f>IF($D$17&lt;0,0,IF($D$17&gt;833000,833000,$D$17))</f>
        <v>0</v>
      </c>
      <c r="E31" s="101" t="s">
        <v>41</v>
      </c>
      <c r="F31" s="102" t="s">
        <v>8</v>
      </c>
      <c r="G31" s="103"/>
      <c r="H31" s="103"/>
      <c r="I31" s="103">
        <f>'Rider Rates'!$B$4</f>
        <v>5.9216E-3</v>
      </c>
      <c r="J31" s="103">
        <f t="shared" ref="J31:J37" si="0">SUM(G31:I31)</f>
        <v>5.9216E-3</v>
      </c>
      <c r="K31" s="104" t="s">
        <v>42</v>
      </c>
      <c r="L31" s="105"/>
      <c r="M31" s="105"/>
      <c r="N31" s="105">
        <f t="shared" ref="N31:N36" si="1">ROUND(D31*I31,2)</f>
        <v>0</v>
      </c>
      <c r="O31" s="250">
        <f t="shared" ref="O31:O53"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159</v>
      </c>
      <c r="B36" s="78"/>
      <c r="C36" s="78"/>
      <c r="D36" s="100">
        <f>IF($D$17&lt;0,0,$D$17)</f>
        <v>0</v>
      </c>
      <c r="E36" s="101" t="s">
        <v>41</v>
      </c>
      <c r="F36" s="102" t="s">
        <v>8</v>
      </c>
      <c r="G36" s="103"/>
      <c r="H36" s="103"/>
      <c r="I36" s="103">
        <f>'Rider Rates'!B15</f>
        <v>0</v>
      </c>
      <c r="J36" s="103">
        <f t="shared" si="0"/>
        <v>0</v>
      </c>
      <c r="K36" s="104" t="s">
        <v>42</v>
      </c>
      <c r="L36" s="105"/>
      <c r="M36" s="105"/>
      <c r="N36" s="105">
        <f t="shared" si="1"/>
        <v>0</v>
      </c>
      <c r="O36" s="105">
        <f t="shared" ref="O36:O42" si="3">SUM(L36:N36)</f>
        <v>0</v>
      </c>
      <c r="P36" s="245">
        <f>'Rider Rates'!$D$15</f>
        <v>45505</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245</v>
      </c>
      <c r="B37" s="78"/>
      <c r="C37" s="78"/>
      <c r="D37" s="195">
        <f>$N$27</f>
        <v>10</v>
      </c>
      <c r="E37" s="101" t="s">
        <v>121</v>
      </c>
      <c r="F37" s="102" t="s">
        <v>8</v>
      </c>
      <c r="G37" s="103"/>
      <c r="H37" s="103"/>
      <c r="I37" s="178">
        <f>'Rider Rates'!$B$18</f>
        <v>0</v>
      </c>
      <c r="J37" s="178">
        <f t="shared" si="0"/>
        <v>0</v>
      </c>
      <c r="K37" s="104"/>
      <c r="L37" s="105"/>
      <c r="M37" s="105"/>
      <c r="N37" s="105">
        <f>ROUND($D$37*'Rider Rates'!$B$18,2)+ROUND($D$37*'Rider Rates'!$E$18,2)</f>
        <v>0</v>
      </c>
      <c r="O37" s="105">
        <f t="shared" si="3"/>
        <v>0</v>
      </c>
      <c r="P37" s="245">
        <f>MAX('Rider Rates'!$D$18,'Rider Rates'!$F$18)</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194</v>
      </c>
      <c r="B38" s="78"/>
      <c r="C38" s="78"/>
      <c r="D38" s="100">
        <f>'Customer Info'!$B$22+'Customer Info'!$B$23-'Customer Info'!$B$24</f>
        <v>0</v>
      </c>
      <c r="E38" s="101" t="s">
        <v>41</v>
      </c>
      <c r="F38" s="102" t="s">
        <v>8</v>
      </c>
      <c r="G38" s="103">
        <f>'Rider Rates'!$B$21</f>
        <v>7.0209999999999995E-2</v>
      </c>
      <c r="H38" s="103"/>
      <c r="I38" s="103"/>
      <c r="J38" s="237">
        <f>SUM(G38:H38)</f>
        <v>7.0209999999999995E-2</v>
      </c>
      <c r="K38" s="104" t="s">
        <v>42</v>
      </c>
      <c r="L38" s="105">
        <f>ROUND(D38*G38,2)</f>
        <v>0</v>
      </c>
      <c r="M38" s="105"/>
      <c r="N38" s="105"/>
      <c r="O38" s="105">
        <f t="shared" si="3"/>
        <v>0</v>
      </c>
      <c r="P38" s="245">
        <f>'Rider Rates'!$D$21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161</v>
      </c>
      <c r="B39" s="78"/>
      <c r="C39" s="78"/>
      <c r="D39" s="100">
        <f>'Customer Info'!$B$22+'Customer Info'!$B$23-'Customer Info'!$B$24</f>
        <v>0</v>
      </c>
      <c r="E39" s="101" t="s">
        <v>41</v>
      </c>
      <c r="F39" s="102" t="s">
        <v>8</v>
      </c>
      <c r="G39" s="103">
        <f>'Rider Rates'!$B$28</f>
        <v>3.2000000000000002E-3</v>
      </c>
      <c r="H39" s="103"/>
      <c r="I39" s="103"/>
      <c r="J39" s="237">
        <f>SUM(G39:H39)</f>
        <v>3.2000000000000002E-3</v>
      </c>
      <c r="K39" s="104" t="s">
        <v>42</v>
      </c>
      <c r="L39" s="239">
        <f>ROUND($D$39*$G$39,2)</f>
        <v>0</v>
      </c>
      <c r="M39" s="105"/>
      <c r="N39" s="105"/>
      <c r="O39" s="105">
        <f>SUM(L39:N39)</f>
        <v>0</v>
      </c>
      <c r="P39" s="245">
        <f>'Rider Rates'!$D$28</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201</v>
      </c>
      <c r="B40" s="78"/>
      <c r="C40" s="78"/>
      <c r="D40" s="100">
        <f>'Customer Info'!$B$22+'Customer Info'!$B$23-'Customer Info'!$B$24</f>
        <v>0</v>
      </c>
      <c r="E40" s="101" t="s">
        <v>41</v>
      </c>
      <c r="F40" s="102" t="s">
        <v>8</v>
      </c>
      <c r="G40" s="103">
        <f>'Rider Rates'!$B$49</f>
        <v>-3.1569999999999998E-4</v>
      </c>
      <c r="H40" s="103"/>
      <c r="I40" s="103"/>
      <c r="J40" s="237">
        <f>SUM(G40:H40)</f>
        <v>-3.1569999999999998E-4</v>
      </c>
      <c r="K40" s="104" t="s">
        <v>42</v>
      </c>
      <c r="L40" s="105">
        <f>ROUND(D40*G40,2)</f>
        <v>0</v>
      </c>
      <c r="M40" s="105"/>
      <c r="N40" s="105"/>
      <c r="O40" s="105">
        <f t="shared" si="3"/>
        <v>0</v>
      </c>
      <c r="P40" s="245">
        <f>'Rider Rates'!$D$49</f>
        <v>45471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41" t="s">
        <v>218</v>
      </c>
      <c r="B41" s="78"/>
      <c r="C41" s="78"/>
      <c r="D41" s="100"/>
      <c r="E41" s="101" t="s">
        <v>114</v>
      </c>
      <c r="F41" s="102"/>
      <c r="G41" s="103"/>
      <c r="H41" s="103"/>
      <c r="I41" s="103">
        <f>'Rider Rates'!D52</f>
        <v>1.39</v>
      </c>
      <c r="J41" s="237">
        <f t="shared" ref="J41:J47" si="4">SUM(G41:I41)</f>
        <v>1.39</v>
      </c>
      <c r="K41" s="104"/>
      <c r="L41" s="105"/>
      <c r="M41" s="105"/>
      <c r="N41" s="105">
        <f>J41</f>
        <v>1.39</v>
      </c>
      <c r="O41" s="105">
        <f>SUM(L41:N41)</f>
        <v>1.39</v>
      </c>
      <c r="P41" s="245">
        <f>'Rider Rates'!E52</f>
        <v>45474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197</v>
      </c>
      <c r="B42" s="78"/>
      <c r="C42" s="78"/>
      <c r="D42" s="100">
        <f>IF($D$17&lt;0,0,$D$17)</f>
        <v>0</v>
      </c>
      <c r="E42" s="113" t="s">
        <v>41</v>
      </c>
      <c r="F42" s="102" t="s">
        <v>8</v>
      </c>
      <c r="G42" s="103"/>
      <c r="H42" s="103">
        <f>'Rider Rates'!$B$59</f>
        <v>4.3837099999999997E-2</v>
      </c>
      <c r="I42" s="103"/>
      <c r="J42" s="103">
        <f t="shared" si="4"/>
        <v>4.3837099999999997E-2</v>
      </c>
      <c r="K42" s="104" t="s">
        <v>42</v>
      </c>
      <c r="L42" s="105"/>
      <c r="M42" s="105">
        <f>ROUND(D42*H42,2)</f>
        <v>0</v>
      </c>
      <c r="N42" s="205"/>
      <c r="O42" s="105">
        <f t="shared" si="3"/>
        <v>0</v>
      </c>
      <c r="P42" s="245">
        <f>'Rider Rates'!$D$59</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347</v>
      </c>
      <c r="B43" s="78"/>
      <c r="C43" s="78"/>
      <c r="D43" s="100">
        <f>IF($D$17&lt;0,0,$D$17)</f>
        <v>0</v>
      </c>
      <c r="E43" s="101" t="s">
        <v>41</v>
      </c>
      <c r="F43" s="102" t="s">
        <v>8</v>
      </c>
      <c r="G43" s="103"/>
      <c r="H43" s="103"/>
      <c r="I43" s="103">
        <f>'Rider Rates'!$B$70</f>
        <v>8.6240000000000004E-4</v>
      </c>
      <c r="J43" s="103">
        <f t="shared" ref="J43" si="5">SUM(G43:I43)</f>
        <v>8.6240000000000004E-4</v>
      </c>
      <c r="K43" s="104" t="s">
        <v>42</v>
      </c>
      <c r="L43" s="105"/>
      <c r="M43" s="105"/>
      <c r="N43" s="105">
        <f>ROUND($D$43*'Rider Rates'!$B$70,2)</f>
        <v>0</v>
      </c>
      <c r="O43" s="250">
        <f>SUM(L43:N43)</f>
        <v>0</v>
      </c>
      <c r="P43" s="245">
        <f>'Rider Rates'!$D$70</f>
        <v>45532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95</v>
      </c>
      <c r="B44" s="78"/>
      <c r="C44" s="78"/>
      <c r="D44" s="100">
        <f>IF('Customer Info'!C35=TRUE,0,IF($D$17&lt;0,0,$D$17))</f>
        <v>0</v>
      </c>
      <c r="E44" s="101" t="s">
        <v>41</v>
      </c>
      <c r="F44" s="102" t="s">
        <v>8</v>
      </c>
      <c r="G44" s="103"/>
      <c r="H44" s="103"/>
      <c r="I44" s="103">
        <f>'Rider Rates'!$B$73+'Rider Rates'!$C$73</f>
        <v>0</v>
      </c>
      <c r="J44" s="103">
        <f t="shared" si="4"/>
        <v>0</v>
      </c>
      <c r="K44" s="104" t="s">
        <v>42</v>
      </c>
      <c r="L44" s="105"/>
      <c r="M44" s="105"/>
      <c r="N44" s="105">
        <f>ROUND($D$44*'Rider Rates'!$B$73,2)+ROUND($D$44*'Rider Rates'!$C$73,2)</f>
        <v>0</v>
      </c>
      <c r="O44" s="250">
        <f t="shared" si="2"/>
        <v>0</v>
      </c>
      <c r="P44" s="245">
        <f>'Rider Rates'!$D$73</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80</v>
      </c>
      <c r="B45" s="78"/>
      <c r="C45" s="78"/>
      <c r="D45" s="195">
        <f>$N$27</f>
        <v>10</v>
      </c>
      <c r="E45" s="101" t="s">
        <v>121</v>
      </c>
      <c r="F45" s="102" t="s">
        <v>8</v>
      </c>
      <c r="G45" s="111"/>
      <c r="H45" s="112"/>
      <c r="I45" s="120">
        <f>'Rider Rates'!$B$89</f>
        <v>2.9347000000000002E-2</v>
      </c>
      <c r="J45" s="120">
        <f t="shared" si="4"/>
        <v>2.9347000000000002E-2</v>
      </c>
      <c r="K45" s="104"/>
      <c r="L45" s="105"/>
      <c r="M45" s="105"/>
      <c r="N45" s="105">
        <f>ROUND(D45*I45,2)</f>
        <v>0.28999999999999998</v>
      </c>
      <c r="O45" s="105">
        <f t="shared" si="2"/>
        <v>0.28999999999999998</v>
      </c>
      <c r="P45" s="245">
        <f>'Rider Rates'!$D$89</f>
        <v>45383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121</v>
      </c>
      <c r="F46" s="102" t="s">
        <v>8</v>
      </c>
      <c r="G46" s="114"/>
      <c r="H46" s="115"/>
      <c r="I46" s="120">
        <f>'Rider Rates'!$B$91</f>
        <v>6.6985699999999995E-2</v>
      </c>
      <c r="J46" s="120">
        <f t="shared" si="4"/>
        <v>6.6985699999999995E-2</v>
      </c>
      <c r="K46" s="104"/>
      <c r="L46" s="105"/>
      <c r="M46" s="105"/>
      <c r="N46" s="105">
        <f>ROUND(D46*I46,2)</f>
        <v>0.67</v>
      </c>
      <c r="O46" s="105">
        <f t="shared" si="2"/>
        <v>0.67</v>
      </c>
      <c r="P46" s="245">
        <f>'Rider Rates'!$D$91</f>
        <v>45167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214</v>
      </c>
      <c r="B47" s="78"/>
      <c r="C47" s="78"/>
      <c r="D47" s="195"/>
      <c r="E47" s="113" t="s">
        <v>114</v>
      </c>
      <c r="F47" s="106"/>
      <c r="G47" s="114"/>
      <c r="H47" s="115"/>
      <c r="I47" s="196">
        <f>'Rider Rates'!$B$94</f>
        <v>1.42</v>
      </c>
      <c r="J47" s="196">
        <f t="shared" si="4"/>
        <v>1.42</v>
      </c>
      <c r="K47" s="104"/>
      <c r="L47" s="105"/>
      <c r="M47" s="105"/>
      <c r="N47" s="105">
        <f>I47</f>
        <v>1.42</v>
      </c>
      <c r="O47" s="250">
        <f>SUM(L47:N47)</f>
        <v>1.42</v>
      </c>
      <c r="P47" s="245">
        <f>'Rider Rates'!$D$94</f>
        <v>45442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247</v>
      </c>
      <c r="B48" s="78"/>
      <c r="C48" s="78"/>
      <c r="D48" s="100">
        <f>IF($D$17&lt;0,0,$D$17)</f>
        <v>0</v>
      </c>
      <c r="E48" s="101" t="s">
        <v>41</v>
      </c>
      <c r="F48" s="102" t="s">
        <v>8</v>
      </c>
      <c r="G48" s="103"/>
      <c r="H48" s="103"/>
      <c r="I48" s="103"/>
      <c r="J48" s="103">
        <f>'Rider Rates'!$B$98</f>
        <v>0</v>
      </c>
      <c r="K48" s="104" t="s">
        <v>42</v>
      </c>
      <c r="L48" s="105"/>
      <c r="M48" s="105"/>
      <c r="N48" s="105"/>
      <c r="O48" s="105">
        <f>ROUND($D48*('Rider Rates'!B$98),2)</f>
        <v>0</v>
      </c>
      <c r="P48" s="245">
        <f>'Rider Rates'!$D$98</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99" t="s">
        <v>156</v>
      </c>
      <c r="B49" s="78"/>
      <c r="C49" s="78"/>
      <c r="D49" s="195">
        <f>$N$27</f>
        <v>10</v>
      </c>
      <c r="E49" s="101" t="s">
        <v>121</v>
      </c>
      <c r="F49" s="102" t="s">
        <v>8</v>
      </c>
      <c r="G49" s="114"/>
      <c r="H49" s="115"/>
      <c r="I49" s="120">
        <f>'Rider Rates'!$B$109</f>
        <v>0.211176</v>
      </c>
      <c r="J49" s="238">
        <f>SUM(G49:I49)</f>
        <v>0.211176</v>
      </c>
      <c r="K49" s="104"/>
      <c r="L49" s="105"/>
      <c r="M49" s="105"/>
      <c r="N49" s="105">
        <f>ROUND(D49*I49,2)</f>
        <v>2.11</v>
      </c>
      <c r="O49" s="105">
        <f t="shared" si="2"/>
        <v>2.11</v>
      </c>
      <c r="P49" s="245">
        <f>'Rider Rates'!$D$109</f>
        <v>45532</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217</v>
      </c>
      <c r="B50" s="78"/>
      <c r="C50" s="78"/>
      <c r="D50" s="195"/>
      <c r="E50" s="113" t="s">
        <v>114</v>
      </c>
      <c r="F50" s="106"/>
      <c r="G50" s="114"/>
      <c r="H50" s="115"/>
      <c r="I50" s="196">
        <f>'Rider Rates'!$B$112</f>
        <v>0</v>
      </c>
      <c r="J50" s="196">
        <f>SUM(G50:I50)</f>
        <v>0</v>
      </c>
      <c r="K50" s="104"/>
      <c r="L50" s="105"/>
      <c r="M50" s="105"/>
      <c r="N50" s="105">
        <f>I50</f>
        <v>0</v>
      </c>
      <c r="O50" s="105">
        <f>SUM(L50:N50)</f>
        <v>0</v>
      </c>
      <c r="P50" s="245">
        <f>'Rider Rates'!$D$112</f>
        <v>44894</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225</v>
      </c>
      <c r="B51" s="78"/>
      <c r="C51" s="78"/>
      <c r="D51" s="195"/>
      <c r="E51" s="113" t="s">
        <v>114</v>
      </c>
      <c r="F51" s="106"/>
      <c r="G51" s="114"/>
      <c r="H51" s="115"/>
      <c r="I51" s="258">
        <f>'Rider Rates'!B125</f>
        <v>1.26</v>
      </c>
      <c r="J51" s="259">
        <f>SUM(G51:I51)</f>
        <v>1.26</v>
      </c>
      <c r="K51" s="104"/>
      <c r="L51" s="105"/>
      <c r="M51" s="105"/>
      <c r="N51" s="260">
        <f>I51</f>
        <v>1.26</v>
      </c>
      <c r="O51" s="105">
        <f>SUM(L51:N51)</f>
        <v>1.26</v>
      </c>
      <c r="P51" s="245">
        <f>'Rider Rates'!D125</f>
        <v>45226</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Info'!$B$22+'Customer Info'!$B$23-'Customer Info'!$B$24</f>
        <v>0</v>
      </c>
      <c r="E52" s="101" t="s">
        <v>41</v>
      </c>
      <c r="F52" s="102" t="s">
        <v>8</v>
      </c>
      <c r="G52" s="103">
        <f>'Rider Rates'!$B$116</f>
        <v>3.8972999999999998E-3</v>
      </c>
      <c r="H52" s="103"/>
      <c r="I52" s="103"/>
      <c r="J52" s="237">
        <f>SUM(G52:H52)</f>
        <v>3.8972999999999998E-3</v>
      </c>
      <c r="K52" s="104" t="s">
        <v>42</v>
      </c>
      <c r="L52" s="105">
        <f>ROUND(D52*G52,2)</f>
        <v>0</v>
      </c>
      <c r="M52" s="105"/>
      <c r="N52" s="105"/>
      <c r="O52" s="105">
        <f t="shared" si="2"/>
        <v>0</v>
      </c>
      <c r="P52" s="245">
        <f>'Rider Rates'!$D$116</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216</v>
      </c>
      <c r="B53" s="78"/>
      <c r="C53" s="78"/>
      <c r="D53" s="100">
        <f>IF($D$17&lt;1,0,$D$17)</f>
        <v>0</v>
      </c>
      <c r="E53" s="101" t="s">
        <v>41</v>
      </c>
      <c r="F53" s="249" t="s">
        <v>8</v>
      </c>
      <c r="G53" s="103"/>
      <c r="H53" s="103"/>
      <c r="I53" s="103">
        <f>'Rider Rates'!$B$121</f>
        <v>-2.3000000000000001E-4</v>
      </c>
      <c r="J53" s="237">
        <f>SUM(G53:I53)</f>
        <v>-2.3000000000000001E-4</v>
      </c>
      <c r="K53" s="104" t="s">
        <v>42</v>
      </c>
      <c r="L53" s="105"/>
      <c r="M53" s="105"/>
      <c r="N53" s="105">
        <f>D53*J53</f>
        <v>0</v>
      </c>
      <c r="O53" s="105">
        <f t="shared" si="2"/>
        <v>0</v>
      </c>
      <c r="P53" s="245">
        <f>'Rider Rates'!D121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238</v>
      </c>
      <c r="B54" s="78"/>
      <c r="C54" s="78"/>
      <c r="D54" s="100"/>
      <c r="E54" s="101" t="s">
        <v>114</v>
      </c>
      <c r="F54" s="102" t="s">
        <v>8</v>
      </c>
      <c r="G54" s="263"/>
      <c r="H54" s="263"/>
      <c r="I54" s="263">
        <f>'Rider Rates'!$B$129</f>
        <v>0.1</v>
      </c>
      <c r="J54" s="263">
        <f>SUM(G54:I54)</f>
        <v>0.1</v>
      </c>
      <c r="K54" s="104"/>
      <c r="L54" s="209"/>
      <c r="M54" s="209"/>
      <c r="N54" s="209">
        <f>J54</f>
        <v>0.1</v>
      </c>
      <c r="O54" s="209">
        <f>SUM(L54:N54)</f>
        <v>0.1</v>
      </c>
      <c r="P54" s="264">
        <f>'Rider Rates'!E129</f>
        <v>44927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250</v>
      </c>
      <c r="B55" s="78"/>
      <c r="C55" s="78"/>
      <c r="D55" s="100">
        <f>D17</f>
        <v>0</v>
      </c>
      <c r="E55" s="101" t="s">
        <v>41</v>
      </c>
      <c r="F55" s="249" t="s">
        <v>8</v>
      </c>
      <c r="G55" s="103"/>
      <c r="H55" s="103"/>
      <c r="I55" s="103">
        <f>'Rider Rates'!B134</f>
        <v>0</v>
      </c>
      <c r="J55" s="237">
        <f>SUM(G55:I55)</f>
        <v>0</v>
      </c>
      <c r="K55" s="104" t="s">
        <v>42</v>
      </c>
      <c r="L55" s="105"/>
      <c r="M55" s="105"/>
      <c r="N55" s="105">
        <f>D55*J55</f>
        <v>0</v>
      </c>
      <c r="O55" s="105">
        <f>SUM(L55:N55)</f>
        <v>0</v>
      </c>
      <c r="P55" s="245">
        <f>'Rider Rates'!D134</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249</v>
      </c>
      <c r="B56" s="78"/>
      <c r="C56" s="78"/>
      <c r="D56" s="100"/>
      <c r="E56" s="101" t="s">
        <v>114</v>
      </c>
      <c r="F56" s="102" t="s">
        <v>8</v>
      </c>
      <c r="G56" s="263"/>
      <c r="H56" s="263"/>
      <c r="I56" s="263">
        <f>'Rider Rates'!$B$141</f>
        <v>0</v>
      </c>
      <c r="J56" s="263">
        <f>SUM(G56:I56)</f>
        <v>0</v>
      </c>
      <c r="K56" s="104"/>
      <c r="L56" s="209"/>
      <c r="M56" s="209"/>
      <c r="N56" s="209">
        <f>J56</f>
        <v>0</v>
      </c>
      <c r="O56" s="209">
        <f>SUM(L56:N56)</f>
        <v>0</v>
      </c>
      <c r="P56" s="264">
        <f>'Rider Rates'!D141</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251</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70</v>
      </c>
      <c r="B58" s="148"/>
      <c r="C58" s="148"/>
      <c r="D58" s="180"/>
      <c r="E58" s="181"/>
      <c r="F58" s="182"/>
      <c r="G58" s="182"/>
      <c r="H58" s="182"/>
      <c r="I58" s="182"/>
      <c r="J58" s="182"/>
      <c r="K58" s="183"/>
      <c r="L58" s="169">
        <f>SUM(L31:L57)</f>
        <v>0</v>
      </c>
      <c r="M58" s="169">
        <f>SUM(M31:M57)</f>
        <v>0</v>
      </c>
      <c r="N58" s="169">
        <f>SUM(N31:N57)</f>
        <v>7.2399999999999993</v>
      </c>
      <c r="O58" s="169">
        <f>SUM(O31:O57)</f>
        <v>7.2399999999999993</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93</v>
      </c>
      <c r="B60" s="170"/>
      <c r="C60" s="170"/>
      <c r="D60" s="170"/>
      <c r="E60" s="170"/>
      <c r="F60" s="170"/>
      <c r="G60" s="170"/>
      <c r="H60" s="170"/>
      <c r="I60" s="170"/>
      <c r="J60" s="170"/>
      <c r="K60" s="170"/>
      <c r="L60" s="186">
        <f>L27+L58</f>
        <v>0</v>
      </c>
      <c r="M60" s="186">
        <f>M27+M58</f>
        <v>0</v>
      </c>
      <c r="N60" s="186">
        <f>N27+N58</f>
        <v>17.239999999999998</v>
      </c>
      <c r="O60" s="187">
        <f>O27+O58</f>
        <v>17.239999999999998</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92</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116</v>
      </c>
      <c r="B65" s="151"/>
      <c r="C65" s="151"/>
      <c r="D65" s="151"/>
      <c r="E65" s="151"/>
      <c r="F65" s="151"/>
      <c r="G65" s="151"/>
      <c r="H65" s="151"/>
      <c r="I65" s="151"/>
      <c r="J65" s="151"/>
      <c r="K65" s="151"/>
      <c r="L65" s="151"/>
      <c r="M65" s="151"/>
      <c r="N65" s="151"/>
      <c r="O65" s="190">
        <f>IF($D$17&lt;0,O60,IF(O60&gt;O63,O60,O63))</f>
        <v>17.239999999999998</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120</v>
      </c>
      <c r="J67" s="166"/>
      <c r="K67" s="166"/>
      <c r="L67" s="191"/>
      <c r="M67" s="191"/>
      <c r="N67" s="191"/>
      <c r="O67" s="191">
        <f>ROUND(IF($D$17&lt;1,0,O60/($D$17*100)*10000),2)</f>
        <v>0</v>
      </c>
      <c r="P67" s="37" t="s">
        <v>86</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198</v>
      </c>
      <c r="J68" s="78"/>
      <c r="K68" s="78"/>
      <c r="L68" s="78"/>
      <c r="M68" s="78"/>
      <c r="N68" s="78"/>
      <c r="O68" s="243">
        <f>ROUND(IF($D$17&lt;1,0,(L60)/($D$17*100)*10000),2)</f>
        <v>0</v>
      </c>
      <c r="P68" s="25" t="s">
        <v>86</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547"/>
    </row>
    <row r="80" spans="1:23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sheetData>
  <sheetProtection algorithmName="SHA-512" hashValue="fakVRPZfbBtThA36H9VpWd8UyfhBlvzWHjaYNA43zeBt8+dWJaRU/Ndu/UdSy10pjeO3bj0Zl6v0jKPqA1WR7w==" saltValue="AWzLASpYhI83ZdtSd45x/w=="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CE89A-B7F5-4EE1-9382-607DAC8B9ADC}">
  <dimension ref="A1:IB66"/>
  <sheetViews>
    <sheetView topLeftCell="A15" zoomScale="85" zoomScaleNormal="85" workbookViewId="0">
      <selection activeCell="H59" sqref="H59"/>
    </sheetView>
  </sheetViews>
  <sheetFormatPr defaultColWidth="8.5703125" defaultRowHeight="12.75" x14ac:dyDescent="0.2"/>
  <cols>
    <col min="1" max="1" width="31" style="430" customWidth="1"/>
    <col min="2" max="2" width="2.140625" style="430" customWidth="1"/>
    <col min="3" max="3" width="21.140625" style="430" customWidth="1"/>
    <col min="4" max="4" width="15.42578125" style="430" customWidth="1"/>
    <col min="5" max="5" width="10.140625" style="430" customWidth="1"/>
    <col min="6" max="6" width="5.5703125" style="430" customWidth="1"/>
    <col min="7" max="8" width="13.42578125" style="430" customWidth="1"/>
    <col min="9" max="9" width="14.5703125" style="430" customWidth="1"/>
    <col min="10" max="10" width="13.42578125" style="430" customWidth="1"/>
    <col min="11" max="11" width="7" style="430" customWidth="1"/>
    <col min="12" max="12" width="15.140625" style="430" customWidth="1"/>
    <col min="13" max="13" width="17.42578125" style="430" bestFit="1" customWidth="1"/>
    <col min="14" max="14" width="16.5703125" style="430" customWidth="1"/>
    <col min="15" max="15" width="19.140625" style="430" bestFit="1" customWidth="1"/>
    <col min="16" max="16" width="12.85546875" style="430" bestFit="1" customWidth="1"/>
    <col min="17" max="17" width="8.5703125" style="430"/>
    <col min="18" max="18" width="9.140625" style="430" hidden="1" customWidth="1"/>
    <col min="19" max="26" width="10.42578125" style="430" hidden="1" customWidth="1"/>
    <col min="27" max="27" width="10.5703125" style="430" hidden="1" customWidth="1"/>
    <col min="28" max="30" width="10.42578125" style="430" hidden="1" customWidth="1"/>
    <col min="31" max="16384" width="8.5703125" style="430"/>
  </cols>
  <sheetData>
    <row r="1" spans="1:30" ht="20.25" x14ac:dyDescent="0.3">
      <c r="A1" s="573" t="s">
        <v>119</v>
      </c>
      <c r="B1" s="573"/>
      <c r="C1" s="573"/>
      <c r="D1" s="573"/>
      <c r="E1" s="573"/>
      <c r="F1" s="573"/>
      <c r="G1" s="573"/>
      <c r="H1" s="573"/>
      <c r="I1" s="573"/>
      <c r="J1" s="573"/>
      <c r="K1" s="573"/>
      <c r="L1" s="573"/>
      <c r="M1" s="573"/>
      <c r="N1" s="573"/>
      <c r="O1" s="573"/>
      <c r="P1" s="573"/>
    </row>
    <row r="2" spans="1:30" ht="20.25" x14ac:dyDescent="0.3">
      <c r="A2" s="573" t="s">
        <v>122</v>
      </c>
      <c r="B2" s="573"/>
      <c r="C2" s="573"/>
      <c r="D2" s="573"/>
      <c r="E2" s="573"/>
      <c r="F2" s="573"/>
      <c r="G2" s="573"/>
      <c r="H2" s="573"/>
      <c r="I2" s="573"/>
      <c r="J2" s="573"/>
      <c r="K2" s="573"/>
      <c r="L2" s="573"/>
      <c r="M2" s="573"/>
      <c r="N2" s="573"/>
      <c r="O2" s="573"/>
      <c r="P2" s="573"/>
    </row>
    <row r="3" spans="1:30" ht="18" x14ac:dyDescent="0.25">
      <c r="A3" s="574" t="s">
        <v>332</v>
      </c>
      <c r="B3" s="574"/>
      <c r="C3" s="574"/>
      <c r="D3" s="574"/>
      <c r="E3" s="574"/>
      <c r="F3" s="574"/>
      <c r="G3" s="574"/>
      <c r="H3" s="574"/>
      <c r="I3" s="574"/>
      <c r="J3" s="574"/>
      <c r="K3" s="574"/>
      <c r="L3" s="574"/>
      <c r="M3" s="574"/>
      <c r="N3" s="574"/>
      <c r="O3" s="574"/>
      <c r="P3" s="574"/>
    </row>
    <row r="4" spans="1:30" ht="15.75" x14ac:dyDescent="0.25">
      <c r="A4" s="575" t="str">
        <f>'Customer Info'!B12</f>
        <v>Breakdown of Charges Based on Entered Information</v>
      </c>
      <c r="B4" s="575"/>
      <c r="C4" s="575"/>
      <c r="D4" s="575"/>
      <c r="E4" s="575"/>
      <c r="F4" s="575"/>
      <c r="G4" s="575"/>
      <c r="H4" s="575"/>
      <c r="I4" s="575"/>
      <c r="J4" s="575"/>
      <c r="K4" s="575"/>
      <c r="L4" s="575"/>
      <c r="M4" s="575"/>
      <c r="N4" s="575"/>
      <c r="O4" s="575"/>
      <c r="P4" s="575"/>
    </row>
    <row r="5" spans="1:30" ht="15" x14ac:dyDescent="0.2">
      <c r="A5" s="429"/>
      <c r="B5" s="429"/>
      <c r="C5" s="429"/>
      <c r="D5" s="429"/>
      <c r="E5" s="429"/>
      <c r="F5" s="429"/>
      <c r="G5" s="429"/>
      <c r="H5" s="429" t="s">
        <v>335</v>
      </c>
      <c r="I5" s="429"/>
      <c r="J5" s="429"/>
      <c r="K5" s="429"/>
    </row>
    <row r="6" spans="1:30" x14ac:dyDescent="0.2">
      <c r="A6" s="431">
        <f ca="1">TODAY()</f>
        <v>45532</v>
      </c>
      <c r="B6" s="432"/>
      <c r="C6" s="431"/>
      <c r="D6" s="431"/>
      <c r="E6" s="431"/>
      <c r="F6" s="431"/>
      <c r="G6" s="431"/>
      <c r="H6" s="431"/>
      <c r="I6" s="431"/>
    </row>
    <row r="7" spans="1:30" ht="26.25" x14ac:dyDescent="0.4">
      <c r="A7" s="576"/>
      <c r="B7" s="576"/>
      <c r="C7" s="576"/>
      <c r="D7" s="576"/>
      <c r="E7" s="576"/>
      <c r="F7" s="576"/>
      <c r="G7" s="576"/>
      <c r="H7" s="576"/>
      <c r="I7" s="576"/>
      <c r="J7" s="576"/>
      <c r="K7" s="576"/>
      <c r="L7" s="576"/>
      <c r="M7" s="576"/>
      <c r="N7" s="576"/>
      <c r="O7" s="576"/>
      <c r="P7" s="576"/>
    </row>
    <row r="8" spans="1:30" x14ac:dyDescent="0.2">
      <c r="C8" s="433"/>
      <c r="D8" s="433"/>
      <c r="E8" s="433"/>
      <c r="F8" s="433"/>
      <c r="G8" s="433"/>
      <c r="H8" s="433"/>
      <c r="I8" s="433"/>
      <c r="J8" s="433"/>
      <c r="K8" s="433"/>
    </row>
    <row r="9" spans="1:30" ht="15" x14ac:dyDescent="0.2">
      <c r="A9" s="434" t="s">
        <v>2</v>
      </c>
      <c r="B9" s="435"/>
      <c r="C9" s="436">
        <f>'Customer Info'!B7</f>
        <v>0</v>
      </c>
      <c r="I9" s="437"/>
    </row>
    <row r="10" spans="1:30" ht="15" x14ac:dyDescent="0.2">
      <c r="A10" s="438" t="s">
        <v>26</v>
      </c>
      <c r="B10" s="435"/>
      <c r="C10" s="436">
        <f>'Customer Info'!B8</f>
        <v>0</v>
      </c>
    </row>
    <row r="11" spans="1:30" x14ac:dyDescent="0.2">
      <c r="A11" s="434" t="s">
        <v>3</v>
      </c>
      <c r="B11" s="439">
        <f>'Customer Info'!B9</f>
        <v>9</v>
      </c>
      <c r="C11" s="440" t="str">
        <f>LOOKUP(B11,R11:AD11,R12:AD12)</f>
        <v>September</v>
      </c>
      <c r="D11" s="441">
        <f>'Customer Info'!C9</f>
        <v>2024</v>
      </c>
      <c r="S11" s="430">
        <v>1</v>
      </c>
      <c r="T11" s="430">
        <v>2</v>
      </c>
      <c r="U11" s="430">
        <v>3</v>
      </c>
      <c r="V11" s="430">
        <v>4</v>
      </c>
      <c r="W11" s="430">
        <v>5</v>
      </c>
      <c r="X11" s="430">
        <v>6</v>
      </c>
      <c r="Y11" s="430">
        <v>7</v>
      </c>
      <c r="Z11" s="430">
        <v>8</v>
      </c>
      <c r="AA11" s="430">
        <v>9</v>
      </c>
      <c r="AB11" s="430">
        <v>10</v>
      </c>
      <c r="AC11" s="430">
        <v>11</v>
      </c>
      <c r="AD11" s="430">
        <v>12</v>
      </c>
    </row>
    <row r="12" spans="1:30" x14ac:dyDescent="0.2">
      <c r="A12" s="577"/>
      <c r="B12" s="577"/>
      <c r="C12" s="577"/>
      <c r="D12" s="577"/>
      <c r="E12" s="577"/>
      <c r="F12" s="577"/>
      <c r="G12" s="577"/>
      <c r="H12" s="577"/>
      <c r="I12" s="577"/>
      <c r="J12" s="442"/>
      <c r="K12" s="442"/>
      <c r="L12" s="443"/>
      <c r="M12" s="443"/>
      <c r="N12" s="443"/>
      <c r="O12" s="443"/>
      <c r="P12" s="443"/>
      <c r="R12" s="430" t="s">
        <v>114</v>
      </c>
      <c r="S12" s="519" t="s">
        <v>101</v>
      </c>
      <c r="T12" s="519" t="s">
        <v>102</v>
      </c>
      <c r="U12" s="519" t="s">
        <v>103</v>
      </c>
      <c r="V12" s="519" t="s">
        <v>104</v>
      </c>
      <c r="W12" s="519" t="s">
        <v>105</v>
      </c>
      <c r="X12" s="519" t="s">
        <v>106</v>
      </c>
      <c r="Y12" s="519" t="s">
        <v>107</v>
      </c>
      <c r="Z12" s="519" t="s">
        <v>108</v>
      </c>
      <c r="AA12" s="519" t="s">
        <v>109</v>
      </c>
      <c r="AB12" s="519" t="s">
        <v>111</v>
      </c>
      <c r="AC12" s="519" t="s">
        <v>110</v>
      </c>
      <c r="AD12" s="519" t="s">
        <v>112</v>
      </c>
    </row>
    <row r="13" spans="1:30" x14ac:dyDescent="0.2">
      <c r="A13" s="444" t="s">
        <v>27</v>
      </c>
      <c r="B13" s="445"/>
      <c r="C13" s="445"/>
      <c r="D13" s="445"/>
      <c r="E13" s="445"/>
      <c r="F13" s="445"/>
      <c r="G13" s="445"/>
      <c r="H13" s="445"/>
      <c r="I13" s="445"/>
      <c r="R13" s="459" t="s">
        <v>195</v>
      </c>
      <c r="S13" s="430">
        <f>'Rider Rates'!$C$22</f>
        <v>7.0209999999999995E-2</v>
      </c>
      <c r="T13" s="430">
        <f>'Rider Rates'!$C$22</f>
        <v>7.0209999999999995E-2</v>
      </c>
      <c r="U13" s="430">
        <f>'Rider Rates'!$C$22</f>
        <v>7.0209999999999995E-2</v>
      </c>
      <c r="V13" s="430">
        <f>'Rider Rates'!$C$22</f>
        <v>7.0209999999999995E-2</v>
      </c>
      <c r="W13" s="430">
        <f>'Rider Rates'!$C$22</f>
        <v>7.0209999999999995E-2</v>
      </c>
      <c r="X13" s="430">
        <f>'Rider Rates'!$B$22</f>
        <v>7.0209999999999995E-2</v>
      </c>
      <c r="Y13" s="430">
        <f>'Rider Rates'!$B$22</f>
        <v>7.0209999999999995E-2</v>
      </c>
      <c r="Z13" s="430">
        <f>'Rider Rates'!$B$22</f>
        <v>7.0209999999999995E-2</v>
      </c>
      <c r="AA13" s="430">
        <f>'Rider Rates'!$B$22</f>
        <v>7.0209999999999995E-2</v>
      </c>
      <c r="AB13" s="430">
        <f>'Rider Rates'!$C$22</f>
        <v>7.0209999999999995E-2</v>
      </c>
      <c r="AC13" s="430">
        <f>'Rider Rates'!$C$22</f>
        <v>7.0209999999999995E-2</v>
      </c>
      <c r="AD13" s="430">
        <f>'Rider Rates'!$C$22</f>
        <v>7.0209999999999995E-2</v>
      </c>
    </row>
    <row r="14" spans="1:30" x14ac:dyDescent="0.2">
      <c r="A14" s="433"/>
      <c r="B14" s="433"/>
      <c r="C14" s="433"/>
      <c r="D14" s="433"/>
      <c r="E14" s="433"/>
      <c r="F14" s="433"/>
      <c r="G14" s="433"/>
      <c r="H14" s="433"/>
      <c r="I14" s="433"/>
      <c r="R14" s="433"/>
      <c r="S14" s="520"/>
      <c r="T14" s="520"/>
      <c r="U14" s="520"/>
      <c r="V14" s="520"/>
      <c r="W14" s="520"/>
      <c r="X14" s="520"/>
      <c r="Y14" s="520"/>
      <c r="Z14" s="520"/>
      <c r="AA14" s="520"/>
      <c r="AB14" s="520"/>
      <c r="AC14" s="520"/>
      <c r="AD14" s="520"/>
    </row>
    <row r="15" spans="1:30" x14ac:dyDescent="0.2">
      <c r="A15" s="446" t="s">
        <v>51</v>
      </c>
      <c r="B15" s="446"/>
      <c r="C15" s="447">
        <f>IF('Customer Info'!B22+'Customer Info'!B23-'Customer Info'!B24&lt;0,0,'Customer Info'!B22+'Customer Info'!B23-'Customer Info'!B24)</f>
        <v>0</v>
      </c>
      <c r="D15" s="446" t="s">
        <v>41</v>
      </c>
      <c r="E15" s="446"/>
      <c r="F15" s="448"/>
      <c r="G15" s="446"/>
      <c r="H15" s="446"/>
      <c r="I15" s="446"/>
      <c r="R15" s="433"/>
      <c r="S15" s="520"/>
      <c r="T15" s="520"/>
      <c r="U15" s="520"/>
      <c r="V15" s="520"/>
      <c r="W15" s="520"/>
      <c r="X15" s="520"/>
      <c r="Y15" s="520"/>
      <c r="Z15" s="520"/>
      <c r="AA15" s="520"/>
      <c r="AB15" s="520"/>
      <c r="AC15" s="520"/>
      <c r="AD15" s="520"/>
    </row>
    <row r="16" spans="1:30" x14ac:dyDescent="0.2">
      <c r="A16" s="446" t="s">
        <v>233</v>
      </c>
      <c r="B16" s="446"/>
      <c r="C16" s="447">
        <f>'Customer Info'!B22</f>
        <v>0</v>
      </c>
      <c r="D16" s="446" t="s">
        <v>41</v>
      </c>
      <c r="E16" s="446"/>
      <c r="F16" s="448"/>
      <c r="G16" s="434" t="s">
        <v>15</v>
      </c>
      <c r="H16" s="446"/>
    </row>
    <row r="17" spans="1:221" x14ac:dyDescent="0.2">
      <c r="A17" s="446" t="s">
        <v>234</v>
      </c>
      <c r="B17" s="446"/>
      <c r="C17" s="447">
        <f>'Customer Info'!B23</f>
        <v>0</v>
      </c>
      <c r="D17" s="449" t="s">
        <v>41</v>
      </c>
      <c r="E17" s="448"/>
      <c r="F17" s="448"/>
      <c r="G17" s="434" t="s">
        <v>15</v>
      </c>
      <c r="H17" s="446"/>
      <c r="I17" s="450" t="s">
        <v>15</v>
      </c>
    </row>
    <row r="19" spans="1:221" x14ac:dyDescent="0.2">
      <c r="A19" s="444" t="s">
        <v>31</v>
      </c>
      <c r="B19" s="445"/>
      <c r="C19" s="445"/>
      <c r="D19" s="445"/>
      <c r="E19" s="445"/>
      <c r="F19" s="445"/>
      <c r="G19" s="569" t="s">
        <v>67</v>
      </c>
      <c r="H19" s="570"/>
      <c r="I19" s="570"/>
      <c r="J19" s="571"/>
      <c r="K19" s="445"/>
      <c r="L19" s="572" t="s">
        <v>68</v>
      </c>
      <c r="M19" s="572"/>
      <c r="N19" s="572"/>
      <c r="O19" s="572"/>
    </row>
    <row r="20" spans="1:221" x14ac:dyDescent="0.2">
      <c r="A20" s="433"/>
      <c r="B20" s="433"/>
      <c r="C20" s="433"/>
      <c r="D20" s="433"/>
      <c r="E20" s="433"/>
      <c r="F20" s="433"/>
      <c r="G20" s="451" t="s">
        <v>64</v>
      </c>
      <c r="H20" s="451" t="s">
        <v>65</v>
      </c>
      <c r="I20" s="451" t="s">
        <v>66</v>
      </c>
      <c r="J20" s="452" t="s">
        <v>34</v>
      </c>
      <c r="K20" s="433"/>
      <c r="L20" s="453" t="s">
        <v>64</v>
      </c>
      <c r="M20" s="453" t="s">
        <v>65</v>
      </c>
      <c r="N20" s="453" t="s">
        <v>66</v>
      </c>
      <c r="O20" s="453" t="s">
        <v>34</v>
      </c>
      <c r="P20" s="454" t="s">
        <v>56</v>
      </c>
    </row>
    <row r="21" spans="1:221" x14ac:dyDescent="0.2">
      <c r="A21" s="430" t="s">
        <v>32</v>
      </c>
      <c r="G21" s="455"/>
      <c r="H21" s="455"/>
      <c r="I21" s="455">
        <f>'Rider Rates'!B148</f>
        <v>9.4</v>
      </c>
      <c r="J21" s="455">
        <f>SUM(G21:I21)</f>
        <v>9.4</v>
      </c>
      <c r="L21" s="456"/>
      <c r="M21" s="456"/>
      <c r="N21" s="456">
        <f>I21</f>
        <v>9.4</v>
      </c>
      <c r="O21" s="457">
        <f>SUM(L21:N21)</f>
        <v>9.4</v>
      </c>
      <c r="P21" s="458">
        <v>44531</v>
      </c>
    </row>
    <row r="22" spans="1:221" x14ac:dyDescent="0.2">
      <c r="A22" s="459" t="s">
        <v>302</v>
      </c>
      <c r="D22" s="460">
        <f>C15</f>
        <v>0</v>
      </c>
      <c r="E22" s="461" t="s">
        <v>41</v>
      </c>
      <c r="F22" s="462" t="s">
        <v>8</v>
      </c>
      <c r="G22" s="463"/>
      <c r="H22" s="463"/>
      <c r="I22" s="463">
        <f>'Rider Rates'!C148</f>
        <v>2.0634799999999998E-2</v>
      </c>
      <c r="J22" s="463">
        <f>SUM(G22:I22)</f>
        <v>2.0634799999999998E-2</v>
      </c>
      <c r="K22" s="464" t="s">
        <v>42</v>
      </c>
      <c r="L22" s="457"/>
      <c r="M22" s="457"/>
      <c r="N22" s="457">
        <f>IF(C15&lt;0,0,ROUND($D22*I22,2))</f>
        <v>0</v>
      </c>
      <c r="O22" s="457">
        <f>SUM(L22:N22)</f>
        <v>0</v>
      </c>
      <c r="P22" s="458">
        <f>'Rider Rates'!H148</f>
        <v>45444</v>
      </c>
    </row>
    <row r="23" spans="1:221" x14ac:dyDescent="0.2">
      <c r="A23" s="465" t="s">
        <v>50</v>
      </c>
      <c r="B23" s="465"/>
      <c r="C23" s="465"/>
      <c r="D23" s="466"/>
      <c r="E23" s="466"/>
      <c r="F23" s="465"/>
      <c r="G23" s="465"/>
      <c r="H23" s="465"/>
      <c r="I23" s="465"/>
      <c r="J23" s="465"/>
      <c r="K23" s="467"/>
      <c r="L23" s="468"/>
      <c r="M23" s="468"/>
      <c r="N23" s="468">
        <f>SUM(N21:N22)</f>
        <v>9.4</v>
      </c>
      <c r="O23" s="468">
        <f>SUM(O21:O22)</f>
        <v>9.4</v>
      </c>
    </row>
    <row r="24" spans="1:221" x14ac:dyDescent="0.2">
      <c r="A24" s="469"/>
      <c r="B24" s="469"/>
      <c r="C24" s="470"/>
      <c r="D24" s="470"/>
      <c r="E24" s="470"/>
      <c r="F24" s="470"/>
      <c r="G24" s="471"/>
      <c r="H24" s="471"/>
      <c r="I24" s="471"/>
      <c r="J24" s="471"/>
      <c r="K24" s="469"/>
      <c r="L24" s="469"/>
      <c r="M24" s="469"/>
      <c r="N24" s="469"/>
      <c r="O24" s="469"/>
      <c r="P24" s="469"/>
    </row>
    <row r="25" spans="1:221" x14ac:dyDescent="0.2">
      <c r="A25" s="472" t="s">
        <v>69</v>
      </c>
      <c r="B25" s="473"/>
      <c r="C25" s="473"/>
      <c r="D25" s="474"/>
      <c r="E25" s="474"/>
      <c r="F25" s="473"/>
      <c r="G25" s="474"/>
      <c r="H25" s="474"/>
      <c r="I25" s="474"/>
      <c r="J25" s="474"/>
      <c r="K25" s="474"/>
      <c r="L25" s="474"/>
      <c r="M25" s="474"/>
      <c r="N25" s="474"/>
      <c r="O25" s="474"/>
      <c r="P25" s="475"/>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row>
    <row r="26" spans="1:221" x14ac:dyDescent="0.2">
      <c r="P26" s="476"/>
      <c r="Q26" s="490"/>
      <c r="R26" s="521"/>
      <c r="S26" s="522"/>
      <c r="T26" s="510"/>
      <c r="U26" s="433"/>
      <c r="V26" s="52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row>
    <row r="27" spans="1:221" x14ac:dyDescent="0.2">
      <c r="A27" s="477" t="s">
        <v>78</v>
      </c>
      <c r="B27" s="478"/>
      <c r="C27" s="478"/>
      <c r="D27" s="427">
        <f>IF($C$15&lt;0,0,IF($C$15&gt;833000,833000,$C$15))</f>
        <v>0</v>
      </c>
      <c r="E27" s="461" t="s">
        <v>41</v>
      </c>
      <c r="F27" s="462" t="s">
        <v>8</v>
      </c>
      <c r="G27" s="479"/>
      <c r="H27" s="479"/>
      <c r="I27" s="479">
        <f>'Rider Rates'!$B$4</f>
        <v>5.9216E-3</v>
      </c>
      <c r="J27" s="479">
        <f t="shared" ref="J27:J48" si="0">SUM(G27:I27)</f>
        <v>5.9216E-3</v>
      </c>
      <c r="K27" s="464" t="s">
        <v>42</v>
      </c>
      <c r="L27" s="250"/>
      <c r="M27" s="250"/>
      <c r="N27" s="250">
        <f t="shared" ref="N27:N32" si="1">ROUND(D27*I27,2)</f>
        <v>0</v>
      </c>
      <c r="O27" s="250">
        <f t="shared" ref="O27:O49" si="2">SUM(L27:N27)</f>
        <v>0</v>
      </c>
      <c r="P27" s="458">
        <f>'Rider Rates'!$D$4</f>
        <v>45293</v>
      </c>
      <c r="Q27" s="490"/>
      <c r="R27" s="505"/>
      <c r="S27" s="522"/>
      <c r="T27" s="510"/>
      <c r="U27" s="433"/>
      <c r="V27" s="52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row>
    <row r="28" spans="1:221" x14ac:dyDescent="0.2">
      <c r="A28" s="477" t="s">
        <v>79</v>
      </c>
      <c r="B28" s="433"/>
      <c r="C28" s="433"/>
      <c r="D28" s="427">
        <f>IF($C$15&gt;833000,$C$15-833000,0)</f>
        <v>0</v>
      </c>
      <c r="E28" s="461" t="s">
        <v>41</v>
      </c>
      <c r="F28" s="462" t="s">
        <v>8</v>
      </c>
      <c r="G28" s="479"/>
      <c r="H28" s="479"/>
      <c r="I28" s="479">
        <f>'Rider Rates'!$B$5</f>
        <v>1.7560000000000001E-4</v>
      </c>
      <c r="J28" s="479">
        <f t="shared" si="0"/>
        <v>1.7560000000000001E-4</v>
      </c>
      <c r="K28" s="464" t="s">
        <v>42</v>
      </c>
      <c r="L28" s="250"/>
      <c r="M28" s="250"/>
      <c r="N28" s="250">
        <f t="shared" si="1"/>
        <v>0</v>
      </c>
      <c r="O28" s="250">
        <f t="shared" si="2"/>
        <v>0</v>
      </c>
      <c r="P28" s="458">
        <f>'Rider Rates'!$D$4</f>
        <v>45293</v>
      </c>
      <c r="Q28" s="490"/>
      <c r="R28" s="505"/>
      <c r="S28" s="522"/>
      <c r="T28" s="510"/>
      <c r="U28" s="433"/>
      <c r="V28" s="52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row>
    <row r="29" spans="1:221" x14ac:dyDescent="0.2">
      <c r="A29" s="477" t="s">
        <v>96</v>
      </c>
      <c r="B29" s="433"/>
      <c r="C29" s="433"/>
      <c r="D29" s="427">
        <f>IF('Customer Info'!$C$33=TRUE,0,IF($C$15&lt;0,0,IF($C$15&gt;2000,2000,$C$15)))</f>
        <v>0</v>
      </c>
      <c r="E29" s="461" t="s">
        <v>41</v>
      </c>
      <c r="F29" s="462" t="s">
        <v>8</v>
      </c>
      <c r="G29" s="479"/>
      <c r="H29" s="479"/>
      <c r="I29" s="480">
        <f>'Rider Rates'!$B$8</f>
        <v>4.6499999999999996E-3</v>
      </c>
      <c r="J29" s="480">
        <f t="shared" si="0"/>
        <v>4.6499999999999996E-3</v>
      </c>
      <c r="K29" s="464" t="s">
        <v>42</v>
      </c>
      <c r="L29" s="250"/>
      <c r="M29" s="250"/>
      <c r="N29" s="250">
        <f t="shared" si="1"/>
        <v>0</v>
      </c>
      <c r="O29" s="250">
        <f t="shared" si="2"/>
        <v>0</v>
      </c>
      <c r="P29" s="458">
        <f>'Rider Rates'!$D$7</f>
        <v>44531</v>
      </c>
      <c r="Q29" s="490"/>
      <c r="R29" s="505"/>
      <c r="S29" s="522"/>
      <c r="T29" s="510"/>
      <c r="U29" s="433"/>
      <c r="V29" s="52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row>
    <row r="30" spans="1:221" x14ac:dyDescent="0.2">
      <c r="A30" s="477" t="s">
        <v>97</v>
      </c>
      <c r="B30" s="433"/>
      <c r="C30" s="433"/>
      <c r="D30" s="427">
        <f>IF('Customer Info'!$C$33=TRUE,0,IF($C$15&lt;=2000,0,IF($C$15=0,0,IF($C$15-2000&gt;13000,13000,$C$15-2000))))</f>
        <v>0</v>
      </c>
      <c r="E30" s="461" t="s">
        <v>41</v>
      </c>
      <c r="F30" s="462" t="s">
        <v>8</v>
      </c>
      <c r="G30" s="479"/>
      <c r="H30" s="479"/>
      <c r="I30" s="480">
        <f>'Rider Rates'!$B$9</f>
        <v>4.1900000000000001E-3</v>
      </c>
      <c r="J30" s="480">
        <f t="shared" si="0"/>
        <v>4.1900000000000001E-3</v>
      </c>
      <c r="K30" s="464" t="s">
        <v>42</v>
      </c>
      <c r="L30" s="250"/>
      <c r="M30" s="250"/>
      <c r="N30" s="250">
        <f t="shared" si="1"/>
        <v>0</v>
      </c>
      <c r="O30" s="250">
        <f t="shared" si="2"/>
        <v>0</v>
      </c>
      <c r="P30" s="458">
        <f>'Rider Rates'!$D$7</f>
        <v>44531</v>
      </c>
      <c r="Q30" s="490"/>
      <c r="R30" s="505"/>
      <c r="S30" s="522"/>
      <c r="T30" s="510"/>
      <c r="U30" s="433"/>
      <c r="V30" s="52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row>
    <row r="31" spans="1:221" x14ac:dyDescent="0.2">
      <c r="A31" s="477" t="s">
        <v>98</v>
      </c>
      <c r="B31" s="433"/>
      <c r="C31" s="433"/>
      <c r="D31" s="427">
        <f>IF('Customer Info'!$C$33=TRUE,0,IF($C$15=0,0,IF($C$15-15000&gt;=0,$C$15-15000,0)))</f>
        <v>0</v>
      </c>
      <c r="E31" s="461" t="s">
        <v>41</v>
      </c>
      <c r="F31" s="462" t="s">
        <v>8</v>
      </c>
      <c r="G31" s="479"/>
      <c r="H31" s="479"/>
      <c r="I31" s="480">
        <f>'Rider Rates'!$B$10</f>
        <v>3.63E-3</v>
      </c>
      <c r="J31" s="480">
        <f t="shared" si="0"/>
        <v>3.63E-3</v>
      </c>
      <c r="K31" s="464" t="s">
        <v>42</v>
      </c>
      <c r="L31" s="250"/>
      <c r="M31" s="250"/>
      <c r="N31" s="250">
        <f t="shared" si="1"/>
        <v>0</v>
      </c>
      <c r="O31" s="250">
        <f t="shared" si="2"/>
        <v>0</v>
      </c>
      <c r="P31" s="458">
        <f>'Rider Rates'!$D$7</f>
        <v>44531</v>
      </c>
      <c r="Q31" s="490"/>
      <c r="R31" s="505"/>
      <c r="S31" s="522"/>
      <c r="T31" s="510"/>
      <c r="U31" s="433"/>
      <c r="V31" s="52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row>
    <row r="32" spans="1:221" x14ac:dyDescent="0.2">
      <c r="A32" s="432" t="s">
        <v>159</v>
      </c>
      <c r="B32" s="433"/>
      <c r="C32" s="433"/>
      <c r="D32" s="427">
        <f>IF($C$15&lt;0,0,$C$15)</f>
        <v>0</v>
      </c>
      <c r="E32" s="461" t="s">
        <v>41</v>
      </c>
      <c r="F32" s="462" t="s">
        <v>8</v>
      </c>
      <c r="G32" s="479"/>
      <c r="H32" s="479"/>
      <c r="I32" s="479">
        <f>'Rider Rates'!$B$16</f>
        <v>0</v>
      </c>
      <c r="J32" s="479">
        <f>SUM(G32:I32)</f>
        <v>0</v>
      </c>
      <c r="K32" s="464" t="s">
        <v>42</v>
      </c>
      <c r="L32" s="250"/>
      <c r="M32" s="250"/>
      <c r="N32" s="250">
        <f t="shared" si="1"/>
        <v>0</v>
      </c>
      <c r="O32" s="250">
        <f t="shared" si="2"/>
        <v>0</v>
      </c>
      <c r="P32" s="458">
        <f>'Rider Rates'!$D$16</f>
        <v>45197</v>
      </c>
      <c r="Q32" s="490"/>
      <c r="R32" s="505"/>
      <c r="S32" s="522"/>
      <c r="T32" s="510"/>
      <c r="U32" s="433"/>
      <c r="V32" s="52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row>
    <row r="33" spans="1:221" x14ac:dyDescent="0.2">
      <c r="A33" s="432" t="s">
        <v>245</v>
      </c>
      <c r="B33" s="433"/>
      <c r="C33" s="433"/>
      <c r="D33" s="428">
        <f>$N$23</f>
        <v>9.4</v>
      </c>
      <c r="E33" s="461" t="s">
        <v>121</v>
      </c>
      <c r="F33" s="462" t="s">
        <v>8</v>
      </c>
      <c r="G33" s="479"/>
      <c r="H33" s="479"/>
      <c r="I33" s="481">
        <f>'Rider Rates'!$B$18+'Rider Rates'!$E$18</f>
        <v>0</v>
      </c>
      <c r="J33" s="481">
        <f>SUM(G33:I33)</f>
        <v>0</v>
      </c>
      <c r="K33" s="464"/>
      <c r="L33" s="250"/>
      <c r="M33" s="250"/>
      <c r="N33" s="250">
        <f>ROUND($D$33*'Rider Rates'!$B$18,2)+ROUND($D$33*'Rider Rates'!$E$18,2)</f>
        <v>0</v>
      </c>
      <c r="O33" s="250">
        <f t="shared" si="2"/>
        <v>0</v>
      </c>
      <c r="P33" s="458">
        <f>MAX('Rider Rates'!$D$18,'Rider Rates'!$F$18)</f>
        <v>44531</v>
      </c>
      <c r="Q33" s="490"/>
      <c r="R33" s="505"/>
      <c r="S33" s="522"/>
      <c r="T33" s="510"/>
      <c r="U33" s="433"/>
      <c r="V33" s="52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row>
    <row r="34" spans="1:221" x14ac:dyDescent="0.2">
      <c r="A34" s="432" t="s">
        <v>194</v>
      </c>
      <c r="B34" s="433"/>
      <c r="C34" s="433"/>
      <c r="D34" s="460">
        <f>'Customer Info'!$B$22+'Customer Info'!$B$23-'Customer Info'!$B$24</f>
        <v>0</v>
      </c>
      <c r="E34" s="461" t="s">
        <v>41</v>
      </c>
      <c r="F34" s="462" t="s">
        <v>8</v>
      </c>
      <c r="G34" s="479"/>
      <c r="H34" s="479"/>
      <c r="I34" s="479"/>
      <c r="J34" s="482">
        <f>SUM(G34:H34)</f>
        <v>0</v>
      </c>
      <c r="K34" s="464" t="s">
        <v>42</v>
      </c>
      <c r="L34" s="250">
        <f>ROUND(D34*G34,2)</f>
        <v>0</v>
      </c>
      <c r="M34" s="250"/>
      <c r="N34" s="250"/>
      <c r="O34" s="250">
        <f t="shared" si="2"/>
        <v>0</v>
      </c>
      <c r="P34" s="458">
        <f>'Rider Rates'!$D$22</f>
        <v>45444</v>
      </c>
      <c r="Q34" s="490"/>
      <c r="R34" s="505"/>
      <c r="S34" s="522"/>
      <c r="T34" s="510"/>
      <c r="U34" s="433"/>
      <c r="V34" s="52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row>
    <row r="35" spans="1:221" x14ac:dyDescent="0.2">
      <c r="A35" s="432" t="s">
        <v>164</v>
      </c>
      <c r="B35" s="433"/>
      <c r="C35" s="433"/>
      <c r="D35" s="427">
        <f>$C$16</f>
        <v>0</v>
      </c>
      <c r="E35" s="461" t="s">
        <v>41</v>
      </c>
      <c r="F35" s="462" t="s">
        <v>8</v>
      </c>
      <c r="G35" s="479"/>
      <c r="H35" s="479"/>
      <c r="I35" s="479"/>
      <c r="J35" s="482">
        <f>SUM(G35:H35)</f>
        <v>0</v>
      </c>
      <c r="K35" s="464" t="s">
        <v>42</v>
      </c>
      <c r="L35" s="250">
        <f>ROUND(D35*G35,2)</f>
        <v>0</v>
      </c>
      <c r="M35" s="250"/>
      <c r="N35" s="250"/>
      <c r="O35" s="250">
        <f t="shared" si="2"/>
        <v>0</v>
      </c>
      <c r="P35" s="458">
        <f>'Rider Rates'!$D$38</f>
        <v>45444</v>
      </c>
      <c r="Q35" s="490"/>
      <c r="R35" s="505"/>
      <c r="S35" s="522"/>
      <c r="T35" s="510"/>
      <c r="U35" s="433"/>
      <c r="V35" s="52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row>
    <row r="36" spans="1:221" x14ac:dyDescent="0.2">
      <c r="A36" s="432" t="s">
        <v>227</v>
      </c>
      <c r="B36" s="433"/>
      <c r="C36" s="433"/>
      <c r="D36" s="427">
        <f>$C$17</f>
        <v>0</v>
      </c>
      <c r="E36" s="461" t="s">
        <v>41</v>
      </c>
      <c r="F36" s="454" t="s">
        <v>8</v>
      </c>
      <c r="G36" s="479"/>
      <c r="H36" s="479"/>
      <c r="I36" s="479"/>
      <c r="J36" s="482">
        <f>SUM(G36:H36)</f>
        <v>0</v>
      </c>
      <c r="K36" s="464" t="s">
        <v>42</v>
      </c>
      <c r="L36" s="250">
        <f>ROUND(D36*G36,2)</f>
        <v>0</v>
      </c>
      <c r="M36" s="250"/>
      <c r="N36" s="250"/>
      <c r="O36" s="250">
        <f t="shared" si="2"/>
        <v>0</v>
      </c>
      <c r="P36" s="458">
        <f>'Rider Rates'!D39</f>
        <v>45444</v>
      </c>
      <c r="Q36" s="490"/>
      <c r="R36" s="505"/>
      <c r="S36" s="522"/>
      <c r="T36" s="510"/>
      <c r="U36" s="433"/>
      <c r="V36" s="52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row>
    <row r="37" spans="1:221" x14ac:dyDescent="0.2">
      <c r="A37" s="432" t="s">
        <v>201</v>
      </c>
      <c r="B37" s="433"/>
      <c r="C37" s="433"/>
      <c r="D37" s="427">
        <f>C16+C17</f>
        <v>0</v>
      </c>
      <c r="E37" s="461" t="s">
        <v>41</v>
      </c>
      <c r="F37" s="462" t="s">
        <v>8</v>
      </c>
      <c r="G37" s="479"/>
      <c r="H37" s="479"/>
      <c r="I37" s="479"/>
      <c r="J37" s="482">
        <f>SUM(G37:H37)</f>
        <v>0</v>
      </c>
      <c r="K37" s="464" t="s">
        <v>42</v>
      </c>
      <c r="L37" s="250">
        <f>ROUND(D37*G37,2)</f>
        <v>0</v>
      </c>
      <c r="M37" s="250"/>
      <c r="N37" s="250"/>
      <c r="O37" s="250">
        <f t="shared" si="2"/>
        <v>0</v>
      </c>
      <c r="P37" s="458">
        <f>'Rider Rates'!$D$49</f>
        <v>45471</v>
      </c>
      <c r="Q37" s="490"/>
      <c r="R37" s="505"/>
      <c r="S37" s="522"/>
      <c r="T37" s="510"/>
      <c r="U37" s="433"/>
      <c r="V37" s="52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row>
    <row r="38" spans="1:221" x14ac:dyDescent="0.2">
      <c r="A38" s="483" t="s">
        <v>218</v>
      </c>
      <c r="B38" s="433"/>
      <c r="C38" s="433"/>
      <c r="D38" s="427">
        <f>IF($C$15&lt;0,0,IF($C$15&gt;833000,833000,$C$15))</f>
        <v>0</v>
      </c>
      <c r="E38" s="461" t="s">
        <v>41</v>
      </c>
      <c r="F38" s="462" t="s">
        <v>8</v>
      </c>
      <c r="G38" s="479"/>
      <c r="H38" s="479"/>
      <c r="I38" s="479">
        <f>'Rider Rates'!D53</f>
        <v>1.8006999999999999E-3</v>
      </c>
      <c r="J38" s="479">
        <f>SUM(G38:I38)</f>
        <v>1.8006999999999999E-3</v>
      </c>
      <c r="K38" s="464" t="s">
        <v>42</v>
      </c>
      <c r="L38" s="250"/>
      <c r="M38" s="250"/>
      <c r="N38" s="250">
        <f>D38*J38</f>
        <v>0</v>
      </c>
      <c r="O38" s="250">
        <f t="shared" si="2"/>
        <v>0</v>
      </c>
      <c r="P38" s="458">
        <f>'Rider Rates'!E53</f>
        <v>45474</v>
      </c>
      <c r="Q38" s="490"/>
      <c r="R38" s="505"/>
      <c r="S38" s="522"/>
      <c r="T38" s="510"/>
      <c r="U38" s="433"/>
      <c r="V38" s="52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c r="GD38" s="433"/>
      <c r="GE38" s="433"/>
      <c r="GF38" s="433"/>
      <c r="GG38" s="433"/>
      <c r="GH38" s="433"/>
      <c r="GI38" s="433"/>
      <c r="GJ38" s="433"/>
      <c r="GK38" s="433"/>
      <c r="GL38" s="433"/>
      <c r="GM38" s="433"/>
      <c r="GN38" s="433"/>
      <c r="GO38" s="433"/>
      <c r="GP38" s="433"/>
      <c r="GQ38" s="433"/>
      <c r="GR38" s="433"/>
      <c r="GS38" s="433"/>
      <c r="GT38" s="433"/>
      <c r="GU38" s="433"/>
      <c r="GV38" s="433"/>
      <c r="GW38" s="433"/>
      <c r="GX38" s="433"/>
      <c r="GY38" s="433"/>
      <c r="GZ38" s="433"/>
      <c r="HA38" s="433"/>
      <c r="HB38" s="433"/>
      <c r="HC38" s="433"/>
      <c r="HD38" s="433"/>
      <c r="HE38" s="433"/>
      <c r="HF38" s="433"/>
      <c r="HG38" s="433"/>
      <c r="HH38" s="433"/>
      <c r="HI38" s="433"/>
      <c r="HJ38" s="433"/>
      <c r="HK38" s="433"/>
      <c r="HL38" s="433"/>
      <c r="HM38" s="433"/>
    </row>
    <row r="39" spans="1:221" x14ac:dyDescent="0.2">
      <c r="A39" s="432" t="s">
        <v>197</v>
      </c>
      <c r="B39" s="433"/>
      <c r="C39" s="433"/>
      <c r="D39" s="427">
        <f>IF($C$15&lt;0,0,$C$15)</f>
        <v>0</v>
      </c>
      <c r="E39" s="484" t="s">
        <v>41</v>
      </c>
      <c r="F39" s="462" t="s">
        <v>8</v>
      </c>
      <c r="G39" s="479"/>
      <c r="H39" s="479">
        <f>'Rider Rates'!$B$60</f>
        <v>2.3467399999999999E-2</v>
      </c>
      <c r="I39" s="479"/>
      <c r="J39" s="479">
        <f>SUM(G39:I39)</f>
        <v>2.3467399999999999E-2</v>
      </c>
      <c r="K39" s="464" t="s">
        <v>42</v>
      </c>
      <c r="L39" s="250"/>
      <c r="M39" s="250">
        <f>ROUND(D39*H39,2)</f>
        <v>0</v>
      </c>
      <c r="N39" s="485"/>
      <c r="O39" s="250">
        <f t="shared" si="2"/>
        <v>0</v>
      </c>
      <c r="P39" s="458">
        <f>'Rider Rates'!$D$60</f>
        <v>45383</v>
      </c>
      <c r="Q39" s="490"/>
      <c r="R39" s="505"/>
      <c r="S39" s="522"/>
      <c r="T39" s="510"/>
      <c r="U39" s="433"/>
      <c r="V39" s="52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c r="GD39" s="433"/>
      <c r="GE39" s="433"/>
      <c r="GF39" s="433"/>
      <c r="GG39" s="433"/>
      <c r="GH39" s="433"/>
      <c r="GI39" s="433"/>
      <c r="GJ39" s="433"/>
      <c r="GK39" s="433"/>
      <c r="GL39" s="433"/>
      <c r="GM39" s="433"/>
      <c r="GN39" s="433"/>
      <c r="GO39" s="433"/>
      <c r="GP39" s="433"/>
      <c r="GQ39" s="433"/>
      <c r="GR39" s="433"/>
      <c r="GS39" s="433"/>
      <c r="GT39" s="433"/>
      <c r="GU39" s="433"/>
      <c r="GV39" s="433"/>
      <c r="GW39" s="433"/>
      <c r="GX39" s="433"/>
      <c r="GY39" s="433"/>
      <c r="GZ39" s="433"/>
      <c r="HA39" s="433"/>
      <c r="HB39" s="433"/>
      <c r="HC39" s="433"/>
      <c r="HD39" s="433"/>
      <c r="HE39" s="433"/>
      <c r="HF39" s="433"/>
      <c r="HG39" s="433"/>
      <c r="HH39" s="433"/>
      <c r="HI39" s="433"/>
      <c r="HJ39" s="433"/>
      <c r="HK39" s="433"/>
      <c r="HL39" s="433"/>
      <c r="HM39" s="433"/>
    </row>
    <row r="40" spans="1:221" x14ac:dyDescent="0.2">
      <c r="A40" s="477" t="s">
        <v>95</v>
      </c>
      <c r="B40" s="433"/>
      <c r="C40" s="433"/>
      <c r="D40" s="427">
        <f>IF('Customer Info'!C35=TRUE,0,IF($C$15&lt;0,0,$C$15))</f>
        <v>0</v>
      </c>
      <c r="E40" s="461" t="s">
        <v>41</v>
      </c>
      <c r="F40" s="462" t="s">
        <v>8</v>
      </c>
      <c r="G40" s="479"/>
      <c r="H40" s="479"/>
      <c r="I40" s="479">
        <f>'Rider Rates'!$B$74+'Rider Rates'!$C$74</f>
        <v>0</v>
      </c>
      <c r="J40" s="479">
        <f t="shared" si="0"/>
        <v>0</v>
      </c>
      <c r="K40" s="464" t="s">
        <v>42</v>
      </c>
      <c r="L40" s="250"/>
      <c r="M40" s="250"/>
      <c r="N40" s="250">
        <f>ROUND($D$40*'Rider Rates'!$B$74,2)+ROUND($D$40*'Rider Rates'!$C$74,2)</f>
        <v>0</v>
      </c>
      <c r="O40" s="250">
        <f t="shared" si="2"/>
        <v>0</v>
      </c>
      <c r="P40" s="458">
        <f>'Rider Rates'!$D$74</f>
        <v>44531</v>
      </c>
      <c r="Q40" s="490"/>
      <c r="R40" s="505"/>
      <c r="S40" s="522"/>
      <c r="T40" s="510"/>
      <c r="U40" s="433"/>
      <c r="V40" s="52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row>
    <row r="41" spans="1:221" x14ac:dyDescent="0.2">
      <c r="A41" s="477" t="s">
        <v>95</v>
      </c>
      <c r="B41" s="433"/>
      <c r="C41" s="433"/>
      <c r="D41" s="427"/>
      <c r="E41" s="461" t="s">
        <v>114</v>
      </c>
      <c r="F41" s="462"/>
      <c r="G41" s="479"/>
      <c r="H41" s="479"/>
      <c r="I41" s="486">
        <f>'Rider Rates'!$B$81</f>
        <v>0</v>
      </c>
      <c r="J41" s="486">
        <f>IF('Customer Info'!C35=TRUE,0,SUM(G41:I41))</f>
        <v>0</v>
      </c>
      <c r="K41" s="464"/>
      <c r="L41" s="250"/>
      <c r="M41" s="250"/>
      <c r="N41" s="250">
        <f>J41</f>
        <v>0</v>
      </c>
      <c r="O41" s="250">
        <f>SUM(L41:N41)</f>
        <v>0</v>
      </c>
      <c r="P41" s="458">
        <v>44531</v>
      </c>
      <c r="Q41" s="490"/>
      <c r="R41" s="505"/>
      <c r="S41" s="522"/>
      <c r="T41" s="510"/>
      <c r="U41" s="433"/>
      <c r="V41" s="52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row>
    <row r="42" spans="1:221" x14ac:dyDescent="0.2">
      <c r="A42" s="477" t="s">
        <v>80</v>
      </c>
      <c r="B42" s="433"/>
      <c r="C42" s="433"/>
      <c r="D42" s="428">
        <f>$N$23</f>
        <v>9.4</v>
      </c>
      <c r="E42" s="461" t="s">
        <v>121</v>
      </c>
      <c r="F42" s="462" t="s">
        <v>8</v>
      </c>
      <c r="G42" s="487"/>
      <c r="H42" s="452"/>
      <c r="I42" s="488">
        <f>'Rider Rates'!$B$89</f>
        <v>2.9347000000000002E-2</v>
      </c>
      <c r="J42" s="488">
        <f t="shared" si="0"/>
        <v>2.9347000000000002E-2</v>
      </c>
      <c r="K42" s="464"/>
      <c r="L42" s="250"/>
      <c r="M42" s="250"/>
      <c r="N42" s="250">
        <f>ROUND(D42*I42,2)</f>
        <v>0.28000000000000003</v>
      </c>
      <c r="O42" s="250">
        <f t="shared" si="2"/>
        <v>0.28000000000000003</v>
      </c>
      <c r="P42" s="458">
        <f>'Rider Rates'!$D$89</f>
        <v>45383</v>
      </c>
      <c r="Q42" s="490"/>
      <c r="R42" s="505"/>
      <c r="S42" s="522"/>
      <c r="T42" s="510"/>
      <c r="U42" s="433"/>
      <c r="V42" s="52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row>
    <row r="43" spans="1:221" x14ac:dyDescent="0.2">
      <c r="A43" s="477" t="s">
        <v>81</v>
      </c>
      <c r="B43" s="433"/>
      <c r="C43" s="433"/>
      <c r="D43" s="428">
        <f>$N$23</f>
        <v>9.4</v>
      </c>
      <c r="E43" s="461" t="s">
        <v>121</v>
      </c>
      <c r="F43" s="462" t="s">
        <v>8</v>
      </c>
      <c r="G43" s="489"/>
      <c r="H43" s="452"/>
      <c r="I43" s="488">
        <f>'Rider Rates'!$B$91</f>
        <v>6.6985699999999995E-2</v>
      </c>
      <c r="J43" s="488">
        <f t="shared" si="0"/>
        <v>6.6985699999999995E-2</v>
      </c>
      <c r="K43" s="464"/>
      <c r="L43" s="250"/>
      <c r="M43" s="250"/>
      <c r="N43" s="250">
        <f>ROUND(D43*I43,2)</f>
        <v>0.63</v>
      </c>
      <c r="O43" s="250">
        <f t="shared" si="2"/>
        <v>0.63</v>
      </c>
      <c r="P43" s="458">
        <f>'Rider Rates'!$D$91</f>
        <v>45167</v>
      </c>
      <c r="Q43" s="490"/>
      <c r="R43" s="505"/>
      <c r="S43" s="522"/>
      <c r="T43" s="510"/>
      <c r="U43" s="433"/>
      <c r="V43" s="52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row>
    <row r="44" spans="1:221" x14ac:dyDescent="0.2">
      <c r="A44" s="432" t="s">
        <v>214</v>
      </c>
      <c r="B44" s="433"/>
      <c r="C44" s="433"/>
      <c r="D44" s="428"/>
      <c r="E44" s="484" t="s">
        <v>114</v>
      </c>
      <c r="F44" s="490"/>
      <c r="G44" s="489"/>
      <c r="H44" s="452"/>
      <c r="I44" s="486">
        <f>'Rider Rates'!$B$95</f>
        <v>11.97</v>
      </c>
      <c r="J44" s="486">
        <f t="shared" si="0"/>
        <v>11.97</v>
      </c>
      <c r="K44" s="464"/>
      <c r="L44" s="250"/>
      <c r="M44" s="250"/>
      <c r="N44" s="250">
        <f>I44</f>
        <v>11.97</v>
      </c>
      <c r="O44" s="250">
        <f t="shared" si="2"/>
        <v>11.97</v>
      </c>
      <c r="P44" s="458">
        <f>'Rider Rates'!$D$95</f>
        <v>45442</v>
      </c>
      <c r="Q44" s="490"/>
      <c r="R44" s="505"/>
      <c r="S44" s="522"/>
      <c r="T44" s="510"/>
      <c r="U44" s="433"/>
      <c r="V44" s="52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row>
    <row r="45" spans="1:221" x14ac:dyDescent="0.2">
      <c r="A45" s="432" t="s">
        <v>247</v>
      </c>
      <c r="B45" s="433"/>
      <c r="C45" s="433"/>
      <c r="D45" s="427">
        <f>IF($C$15&lt;0,0,$C$15)</f>
        <v>0</v>
      </c>
      <c r="E45" s="461" t="s">
        <v>41</v>
      </c>
      <c r="F45" s="462" t="s">
        <v>8</v>
      </c>
      <c r="G45" s="479"/>
      <c r="H45" s="479"/>
      <c r="I45" s="479"/>
      <c r="J45" s="479">
        <f>'Rider Rates'!$B$99</f>
        <v>0</v>
      </c>
      <c r="K45" s="464" t="s">
        <v>42</v>
      </c>
      <c r="L45" s="250"/>
      <c r="M45" s="250"/>
      <c r="N45" s="250"/>
      <c r="O45" s="250">
        <f>ROUND($D45*('Rider Rates'!B$99),2)</f>
        <v>0</v>
      </c>
      <c r="P45" s="458">
        <f>'Rider Rates'!$D$99</f>
        <v>44531</v>
      </c>
      <c r="Q45" s="490"/>
      <c r="R45" s="505"/>
      <c r="S45" s="522"/>
      <c r="T45" s="510"/>
      <c r="U45" s="433"/>
      <c r="V45" s="52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row>
    <row r="46" spans="1:221" x14ac:dyDescent="0.2">
      <c r="A46" s="477" t="s">
        <v>156</v>
      </c>
      <c r="B46" s="433"/>
      <c r="C46" s="433"/>
      <c r="D46" s="428">
        <f>$N$23</f>
        <v>9.4</v>
      </c>
      <c r="E46" s="461" t="s">
        <v>121</v>
      </c>
      <c r="F46" s="462" t="s">
        <v>8</v>
      </c>
      <c r="G46" s="489"/>
      <c r="H46" s="452"/>
      <c r="I46" s="488">
        <f>'Rider Rates'!$B$109</f>
        <v>0.211176</v>
      </c>
      <c r="J46" s="488">
        <f t="shared" si="0"/>
        <v>0.211176</v>
      </c>
      <c r="K46" s="464"/>
      <c r="L46" s="250"/>
      <c r="M46" s="250"/>
      <c r="N46" s="250">
        <f>ROUND(D46*I46,2)</f>
        <v>1.99</v>
      </c>
      <c r="O46" s="250">
        <f t="shared" si="2"/>
        <v>1.99</v>
      </c>
      <c r="P46" s="458">
        <f>'Rider Rates'!$D$109</f>
        <v>45532</v>
      </c>
      <c r="Q46" s="490"/>
      <c r="R46" s="505"/>
      <c r="S46" s="522"/>
      <c r="T46" s="510"/>
      <c r="U46" s="433"/>
      <c r="V46" s="52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row>
    <row r="47" spans="1:221" x14ac:dyDescent="0.2">
      <c r="A47" s="432" t="s">
        <v>217</v>
      </c>
      <c r="B47" s="433"/>
      <c r="C47" s="433"/>
      <c r="D47" s="428"/>
      <c r="E47" s="484" t="s">
        <v>114</v>
      </c>
      <c r="F47" s="490"/>
      <c r="G47" s="489"/>
      <c r="H47" s="452"/>
      <c r="I47" s="486">
        <f>'Rider Rates'!$B$113</f>
        <v>0</v>
      </c>
      <c r="J47" s="486">
        <f t="shared" si="0"/>
        <v>0</v>
      </c>
      <c r="K47" s="464"/>
      <c r="L47" s="250"/>
      <c r="M47" s="250"/>
      <c r="N47" s="250">
        <f>I47</f>
        <v>0</v>
      </c>
      <c r="O47" s="250">
        <f t="shared" si="2"/>
        <v>0</v>
      </c>
      <c r="P47" s="458">
        <f>'Rider Rates'!$D$113</f>
        <v>44894</v>
      </c>
      <c r="Q47" s="490"/>
      <c r="R47" s="505"/>
      <c r="S47" s="522"/>
      <c r="T47" s="510"/>
      <c r="U47" s="433"/>
      <c r="V47" s="52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row>
    <row r="48" spans="1:221" x14ac:dyDescent="0.2">
      <c r="A48" s="432" t="s">
        <v>225</v>
      </c>
      <c r="B48" s="433"/>
      <c r="C48" s="433"/>
      <c r="D48" s="428"/>
      <c r="E48" s="484" t="s">
        <v>114</v>
      </c>
      <c r="F48" s="490"/>
      <c r="G48" s="489"/>
      <c r="H48" s="452"/>
      <c r="I48" s="491">
        <f>'Rider Rates'!B126</f>
        <v>5.83</v>
      </c>
      <c r="J48" s="486">
        <f t="shared" si="0"/>
        <v>5.83</v>
      </c>
      <c r="K48" s="464"/>
      <c r="L48" s="250"/>
      <c r="M48" s="250"/>
      <c r="N48" s="492">
        <f>I48</f>
        <v>5.83</v>
      </c>
      <c r="O48" s="250">
        <f t="shared" si="2"/>
        <v>5.83</v>
      </c>
      <c r="P48" s="458">
        <f>'Rider Rates'!D126</f>
        <v>45226</v>
      </c>
      <c r="Q48" s="490"/>
      <c r="R48" s="505"/>
      <c r="S48" s="522"/>
      <c r="T48" s="510"/>
      <c r="U48" s="433"/>
      <c r="V48" s="52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row>
    <row r="49" spans="1:236" x14ac:dyDescent="0.2">
      <c r="A49" s="477" t="s">
        <v>157</v>
      </c>
      <c r="B49" s="433"/>
      <c r="C49" s="433"/>
      <c r="D49" s="427">
        <f>C16+C17</f>
        <v>0</v>
      </c>
      <c r="E49" s="461" t="s">
        <v>41</v>
      </c>
      <c r="F49" s="462" t="s">
        <v>8</v>
      </c>
      <c r="G49" s="479"/>
      <c r="H49" s="479"/>
      <c r="I49" s="488"/>
      <c r="J49" s="482">
        <f>SUM(G49:H49)</f>
        <v>0</v>
      </c>
      <c r="K49" s="464" t="s">
        <v>42</v>
      </c>
      <c r="L49" s="250">
        <f>ROUND(D49*G49,2)</f>
        <v>0</v>
      </c>
      <c r="M49" s="250"/>
      <c r="N49" s="250"/>
      <c r="O49" s="250">
        <f t="shared" si="2"/>
        <v>0</v>
      </c>
      <c r="P49" s="458">
        <f>'Rider Rates'!$D$116</f>
        <v>44531</v>
      </c>
      <c r="Q49" s="490"/>
      <c r="R49" s="505"/>
      <c r="S49" s="522"/>
      <c r="T49" s="510"/>
      <c r="U49" s="433"/>
      <c r="V49" s="52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row>
    <row r="50" spans="1:236" x14ac:dyDescent="0.2">
      <c r="A50" s="432" t="s">
        <v>216</v>
      </c>
      <c r="B50" s="433"/>
      <c r="C50" s="433"/>
      <c r="D50" s="427">
        <f>IF($C$15&lt;1,0,$C$15)</f>
        <v>0</v>
      </c>
      <c r="E50" s="461" t="s">
        <v>41</v>
      </c>
      <c r="F50" s="454" t="s">
        <v>8</v>
      </c>
      <c r="G50" s="493"/>
      <c r="H50" s="493"/>
      <c r="I50" s="494">
        <f>'Rider Rates'!B122</f>
        <v>-6.2E-4</v>
      </c>
      <c r="J50" s="494">
        <f>SUM(G50:I50)</f>
        <v>-6.2E-4</v>
      </c>
      <c r="K50" s="464" t="s">
        <v>42</v>
      </c>
      <c r="L50" s="250"/>
      <c r="M50" s="250"/>
      <c r="N50" s="250">
        <f>D50*J50</f>
        <v>0</v>
      </c>
      <c r="O50" s="250">
        <f>SUM(L50:N50)</f>
        <v>0</v>
      </c>
      <c r="P50" s="458">
        <f>'Rider Rates'!D122</f>
        <v>44531</v>
      </c>
      <c r="Q50" s="490"/>
      <c r="R50" s="505"/>
      <c r="S50" s="522"/>
      <c r="T50" s="510"/>
      <c r="U50" s="433"/>
      <c r="V50" s="52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row>
    <row r="51" spans="1:236" x14ac:dyDescent="0.2">
      <c r="A51" s="433" t="s">
        <v>241</v>
      </c>
      <c r="B51" s="433"/>
      <c r="C51" s="433"/>
      <c r="D51" s="427">
        <f>IF(C15&lt;0,0,IF(C15&gt;833000,833000,C15))</f>
        <v>0</v>
      </c>
      <c r="E51" s="461" t="s">
        <v>41</v>
      </c>
      <c r="F51" s="462" t="s">
        <v>8</v>
      </c>
      <c r="G51" s="495"/>
      <c r="H51" s="495"/>
      <c r="I51" s="495">
        <f>'Rider Rates'!$B$130</f>
        <v>2.9050000000000001E-4</v>
      </c>
      <c r="J51" s="495">
        <f>SUM(G51:I51)</f>
        <v>2.9050000000000001E-4</v>
      </c>
      <c r="K51" s="464" t="s">
        <v>42</v>
      </c>
      <c r="L51" s="496"/>
      <c r="M51" s="496"/>
      <c r="N51" s="496">
        <f>IF(D51*J51&gt;'Rider Rates'!$C$130,'Rider Rates'!$C$130,D51*J51)</f>
        <v>0</v>
      </c>
      <c r="O51" s="496">
        <f>SUM(L51:N51)</f>
        <v>0</v>
      </c>
      <c r="P51" s="497">
        <f>'Rider Rates'!$E$130</f>
        <v>45292</v>
      </c>
      <c r="Q51" s="490"/>
      <c r="R51" s="505"/>
      <c r="S51" s="522"/>
      <c r="T51" s="510"/>
      <c r="U51" s="433"/>
      <c r="V51" s="52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row>
    <row r="52" spans="1:236" x14ac:dyDescent="0.2">
      <c r="A52" s="433" t="s">
        <v>242</v>
      </c>
      <c r="B52" s="433"/>
      <c r="C52" s="433"/>
      <c r="D52" s="427">
        <f>IF(C15&gt;833000,C15-833000,0)</f>
        <v>0</v>
      </c>
      <c r="E52" s="461" t="s">
        <v>41</v>
      </c>
      <c r="F52" s="462" t="s">
        <v>8</v>
      </c>
      <c r="G52" s="495"/>
      <c r="H52" s="495"/>
      <c r="I52" s="495">
        <f>'Rider Rates'!$B$131</f>
        <v>0</v>
      </c>
      <c r="J52" s="495">
        <f>SUM(G52:I52)</f>
        <v>0</v>
      </c>
      <c r="K52" s="464" t="s">
        <v>42</v>
      </c>
      <c r="L52" s="496"/>
      <c r="M52" s="496"/>
      <c r="N52" s="496">
        <f>D52*J52</f>
        <v>0</v>
      </c>
      <c r="O52" s="496">
        <f>SUM(L52:N52)</f>
        <v>0</v>
      </c>
      <c r="P52" s="497">
        <f>'Rider Rates'!$E$131</f>
        <v>44927</v>
      </c>
      <c r="Q52" s="490"/>
      <c r="R52" s="505"/>
      <c r="S52" s="522"/>
      <c r="T52" s="510"/>
      <c r="U52" s="433"/>
      <c r="V52" s="52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row>
    <row r="53" spans="1:236" x14ac:dyDescent="0.2">
      <c r="A53" s="483" t="s">
        <v>250</v>
      </c>
      <c r="B53" s="433"/>
      <c r="C53" s="433"/>
      <c r="D53" s="427">
        <f>C15</f>
        <v>0</v>
      </c>
      <c r="E53" s="461" t="s">
        <v>41</v>
      </c>
      <c r="F53" s="454" t="s">
        <v>8</v>
      </c>
      <c r="G53" s="479"/>
      <c r="H53" s="479"/>
      <c r="I53" s="479">
        <f>'Rider Rates'!$B$135</f>
        <v>0</v>
      </c>
      <c r="J53" s="482">
        <f>SUM(G53:I53)</f>
        <v>0</v>
      </c>
      <c r="K53" s="464" t="s">
        <v>42</v>
      </c>
      <c r="L53" s="250"/>
      <c r="M53" s="250"/>
      <c r="N53" s="250">
        <f>D53*J53</f>
        <v>0</v>
      </c>
      <c r="O53" s="250">
        <f>SUM(L53:N53)</f>
        <v>0</v>
      </c>
      <c r="P53" s="458">
        <f>'Rider Rates'!$D$135</f>
        <v>44531</v>
      </c>
      <c r="Q53" s="490"/>
      <c r="R53" s="505"/>
      <c r="S53" s="522"/>
      <c r="T53" s="510"/>
      <c r="U53" s="433"/>
      <c r="V53" s="52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row>
    <row r="54" spans="1:236" x14ac:dyDescent="0.2">
      <c r="A54" s="483" t="s">
        <v>249</v>
      </c>
      <c r="B54" s="433"/>
      <c r="C54" s="433"/>
      <c r="D54" s="460"/>
      <c r="E54" s="461" t="s">
        <v>114</v>
      </c>
      <c r="F54" s="462" t="s">
        <v>8</v>
      </c>
      <c r="G54" s="463"/>
      <c r="H54" s="463"/>
      <c r="I54" s="463">
        <f>'Rider Rates'!$B$142</f>
        <v>0</v>
      </c>
      <c r="J54" s="463">
        <f>SUM(G54:I54)</f>
        <v>0</v>
      </c>
      <c r="K54" s="464"/>
      <c r="L54" s="457"/>
      <c r="M54" s="457"/>
      <c r="N54" s="457">
        <f>J54</f>
        <v>0</v>
      </c>
      <c r="O54" s="457">
        <f>SUM(L54:N54)</f>
        <v>0</v>
      </c>
      <c r="P54" s="497">
        <f>'Rider Rates'!$D$142</f>
        <v>44531</v>
      </c>
      <c r="Q54" s="490"/>
      <c r="R54" s="505"/>
      <c r="S54" s="522"/>
      <c r="T54" s="510"/>
      <c r="U54" s="433"/>
      <c r="V54" s="52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row>
    <row r="55" spans="1:236" x14ac:dyDescent="0.2">
      <c r="A55" s="483" t="s">
        <v>251</v>
      </c>
      <c r="B55" s="433"/>
      <c r="C55" s="433"/>
      <c r="D55" s="460"/>
      <c r="E55" s="461"/>
      <c r="F55" s="462"/>
      <c r="G55" s="463"/>
      <c r="H55" s="463"/>
      <c r="I55" s="463"/>
      <c r="J55" s="463"/>
      <c r="K55" s="464"/>
      <c r="L55" s="457"/>
      <c r="M55" s="457"/>
      <c r="N55" s="457"/>
      <c r="O55" s="457"/>
      <c r="P55" s="497"/>
      <c r="Q55" s="490"/>
      <c r="R55" s="505"/>
      <c r="S55" s="522"/>
      <c r="T55" s="510"/>
      <c r="U55" s="433"/>
      <c r="V55" s="52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row>
    <row r="56" spans="1:236" x14ac:dyDescent="0.2">
      <c r="A56" s="498" t="s">
        <v>70</v>
      </c>
      <c r="B56" s="472"/>
      <c r="C56" s="472"/>
      <c r="D56" s="499"/>
      <c r="E56" s="500"/>
      <c r="F56" s="501"/>
      <c r="G56" s="501"/>
      <c r="H56" s="501"/>
      <c r="I56" s="501"/>
      <c r="J56" s="501"/>
      <c r="K56" s="502"/>
      <c r="L56" s="503">
        <f>SUM(L27:L55)</f>
        <v>0</v>
      </c>
      <c r="M56" s="503">
        <f>SUM(M27:M55)</f>
        <v>0</v>
      </c>
      <c r="N56" s="503">
        <f>SUM(N27:N55)</f>
        <v>20.700000000000003</v>
      </c>
      <c r="O56" s="503">
        <f>SUM(O27:O55)</f>
        <v>20.700000000000003</v>
      </c>
      <c r="P56" s="504"/>
      <c r="Q56" s="490"/>
      <c r="R56" s="505"/>
      <c r="S56" s="522"/>
      <c r="T56" s="510"/>
      <c r="U56" s="433"/>
      <c r="V56" s="52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row>
    <row r="57" spans="1:236" x14ac:dyDescent="0.2">
      <c r="A57" s="433"/>
      <c r="B57" s="433"/>
      <c r="C57" s="433"/>
      <c r="D57" s="460"/>
      <c r="E57" s="484"/>
      <c r="F57" s="490"/>
      <c r="G57" s="490"/>
      <c r="H57" s="490"/>
      <c r="I57" s="490"/>
      <c r="J57" s="505"/>
      <c r="K57" s="464"/>
      <c r="L57" s="490"/>
      <c r="M57" s="490"/>
      <c r="N57" s="490"/>
      <c r="O57" s="490"/>
      <c r="P57" s="506"/>
      <c r="Q57" s="490"/>
      <c r="R57" s="505"/>
      <c r="S57" s="522"/>
      <c r="T57" s="510"/>
      <c r="U57" s="433"/>
      <c r="V57" s="52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row>
    <row r="58" spans="1:236" x14ac:dyDescent="0.2">
      <c r="A58" s="507" t="s">
        <v>93</v>
      </c>
      <c r="B58" s="442"/>
      <c r="C58" s="442"/>
      <c r="D58" s="442"/>
      <c r="E58" s="442"/>
      <c r="F58" s="442"/>
      <c r="G58" s="442"/>
      <c r="H58" s="442"/>
      <c r="I58" s="442"/>
      <c r="J58" s="442"/>
      <c r="K58" s="442"/>
      <c r="L58" s="508">
        <f>L23+L56</f>
        <v>0</v>
      </c>
      <c r="M58" s="508">
        <f>M23+M56</f>
        <v>0</v>
      </c>
      <c r="N58" s="508">
        <f>N23+N56</f>
        <v>30.1</v>
      </c>
      <c r="O58" s="509">
        <f>O23+O56</f>
        <v>30.1</v>
      </c>
      <c r="P58" s="509"/>
      <c r="Q58" s="490"/>
      <c r="R58" s="524"/>
      <c r="S58" s="522"/>
      <c r="T58" s="510"/>
      <c r="U58" s="433"/>
      <c r="V58" s="522"/>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row>
    <row r="59" spans="1:236" x14ac:dyDescent="0.2">
      <c r="A59" s="433"/>
      <c r="B59" s="433"/>
      <c r="C59" s="433"/>
      <c r="D59" s="433"/>
      <c r="E59" s="433"/>
      <c r="F59" s="433"/>
      <c r="G59" s="433"/>
      <c r="H59" s="433"/>
      <c r="I59" s="433"/>
      <c r="J59" s="433"/>
      <c r="K59" s="433"/>
      <c r="L59" s="433"/>
      <c r="M59" s="433"/>
      <c r="Q59" s="473"/>
      <c r="R59" s="473"/>
      <c r="S59" s="473"/>
      <c r="T59" s="525"/>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row>
    <row r="60" spans="1:236" x14ac:dyDescent="0.2">
      <c r="A60" s="433"/>
      <c r="B60" s="433"/>
      <c r="C60" s="433"/>
      <c r="D60" s="433"/>
      <c r="E60" s="433"/>
      <c r="F60" s="433"/>
      <c r="G60" s="433"/>
      <c r="H60" s="433"/>
      <c r="I60" s="433"/>
      <c r="J60" s="433"/>
      <c r="K60" s="433"/>
      <c r="L60" s="433"/>
      <c r="M60" s="433"/>
      <c r="Q60" s="473"/>
      <c r="R60" s="473"/>
      <c r="S60" s="473"/>
      <c r="T60" s="525"/>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row>
    <row r="61" spans="1:236" x14ac:dyDescent="0.2">
      <c r="A61" s="473" t="s">
        <v>92</v>
      </c>
      <c r="B61" s="433"/>
      <c r="C61" s="433"/>
      <c r="D61" s="433"/>
      <c r="E61" s="433"/>
      <c r="F61" s="433"/>
      <c r="G61" s="433"/>
      <c r="H61" s="433"/>
      <c r="I61" s="433"/>
      <c r="J61" s="433"/>
      <c r="K61" s="433"/>
      <c r="L61" s="433"/>
      <c r="M61" s="433"/>
      <c r="N61" s="433"/>
      <c r="O61" s="510">
        <f>O21+O56</f>
        <v>30.1</v>
      </c>
      <c r="Q61" s="473"/>
      <c r="R61" s="473"/>
      <c r="S61" s="473"/>
      <c r="T61" s="525"/>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row>
    <row r="62" spans="1:236" x14ac:dyDescent="0.2">
      <c r="A62" s="473" t="s">
        <v>15</v>
      </c>
      <c r="B62" s="473"/>
      <c r="C62" s="473"/>
      <c r="D62" s="473"/>
      <c r="E62" s="473"/>
      <c r="F62" s="473"/>
      <c r="G62" s="473"/>
      <c r="H62" s="473"/>
      <c r="I62" s="433"/>
      <c r="J62" s="433"/>
      <c r="K62" s="433"/>
      <c r="L62" s="433"/>
      <c r="M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row>
    <row r="63" spans="1:236" x14ac:dyDescent="0.2">
      <c r="A63" s="472" t="s">
        <v>116</v>
      </c>
      <c r="O63" s="511">
        <f>IF($D$17&lt;0,O58,IF(O58&gt;O61,O58,O61))</f>
        <v>30.1</v>
      </c>
      <c r="P63" s="475"/>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row>
    <row r="64" spans="1:236" ht="15" customHeight="1" x14ac:dyDescent="0.2">
      <c r="A64" s="472"/>
      <c r="O64" s="511"/>
      <c r="P64" s="475"/>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row>
    <row r="65" spans="1:222" x14ac:dyDescent="0.2">
      <c r="A65" s="472"/>
      <c r="B65" s="473"/>
      <c r="C65" s="473"/>
      <c r="D65" s="473"/>
      <c r="E65" s="473"/>
      <c r="F65" s="473"/>
      <c r="G65" s="473"/>
      <c r="H65" s="473"/>
      <c r="I65" s="473" t="s">
        <v>120</v>
      </c>
      <c r="J65" s="473"/>
      <c r="K65" s="473"/>
      <c r="L65" s="512"/>
      <c r="M65" s="512"/>
      <c r="N65" s="512"/>
      <c r="O65" s="512">
        <f>ROUND(IF($C$15&lt;1,0,O58/($C$15*100)*10000),2)</f>
        <v>0</v>
      </c>
      <c r="P65" s="465" t="s">
        <v>86</v>
      </c>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HE65" s="433"/>
      <c r="HF65" s="433"/>
      <c r="HG65" s="433"/>
      <c r="HH65" s="433"/>
      <c r="HI65" s="433"/>
      <c r="HJ65" s="433"/>
      <c r="HK65" s="433"/>
      <c r="HL65" s="433"/>
      <c r="HM65" s="433"/>
      <c r="HN65" s="433"/>
    </row>
    <row r="66" spans="1:222" x14ac:dyDescent="0.2">
      <c r="B66" s="433"/>
      <c r="C66" s="433"/>
      <c r="D66" s="433"/>
      <c r="E66" s="433"/>
      <c r="F66" s="433"/>
      <c r="G66" s="433"/>
      <c r="H66" s="513"/>
      <c r="I66" s="514" t="s">
        <v>198</v>
      </c>
      <c r="J66" s="433"/>
      <c r="K66" s="433"/>
      <c r="L66" s="433"/>
      <c r="M66" s="433"/>
      <c r="N66" s="433"/>
      <c r="O66" s="515">
        <f>ROUND(IF($C$15&lt;1,0,(L58)/($C$15*100)*10000),2)</f>
        <v>0</v>
      </c>
      <c r="P66" s="436" t="s">
        <v>86</v>
      </c>
      <c r="Q66" s="433"/>
      <c r="R66" s="433"/>
      <c r="S66" s="433"/>
      <c r="T66" s="433"/>
      <c r="U66" s="433"/>
      <c r="V66" s="433"/>
      <c r="W66" s="433"/>
      <c r="X66" s="433"/>
      <c r="Y66" s="433"/>
      <c r="Z66" s="433"/>
      <c r="AA66" s="433"/>
      <c r="AB66" s="433"/>
      <c r="AC66" s="433"/>
      <c r="AD66" s="433"/>
      <c r="AE66" s="433"/>
      <c r="AF66" s="433"/>
      <c r="AG66" s="433"/>
      <c r="AH66" s="433"/>
      <c r="AI66" s="433"/>
      <c r="AJ66" s="433"/>
      <c r="AK66" s="433"/>
    </row>
  </sheetData>
  <sheetProtection algorithmName="SHA-512" hashValue="xKqUqMY0R21FmtbsVcYuu0zvJABhdjjTrynh6bV92VNrx1o3Tl66ZaLarlUFde8Lihz5bX+8C1RZSpyIH0f4MA==" saltValue="Ittne6Jr5j4LR1S22+CDy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10946"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210947"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10948"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10949"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10950"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0D32-D0F1-4F93-A845-FAB70AD1B81B}">
  <dimension ref="A1:IB66"/>
  <sheetViews>
    <sheetView topLeftCell="A15" zoomScale="80" zoomScaleNormal="80" workbookViewId="0">
      <selection activeCell="M58" sqref="M58:N58"/>
    </sheetView>
  </sheetViews>
  <sheetFormatPr defaultColWidth="8.5703125" defaultRowHeight="12.75" x14ac:dyDescent="0.2"/>
  <cols>
    <col min="1" max="1" width="31" style="430" customWidth="1"/>
    <col min="2" max="2" width="2.140625" style="430" customWidth="1"/>
    <col min="3" max="3" width="21.140625" style="430" customWidth="1"/>
    <col min="4" max="4" width="15.42578125" style="430" customWidth="1"/>
    <col min="5" max="5" width="10.140625" style="430" customWidth="1"/>
    <col min="6" max="6" width="5.5703125" style="430" customWidth="1"/>
    <col min="7" max="8" width="13.42578125" style="430" customWidth="1"/>
    <col min="9" max="9" width="14.5703125" style="430" customWidth="1"/>
    <col min="10" max="10" width="13.42578125" style="430" customWidth="1"/>
    <col min="11" max="11" width="7" style="430" customWidth="1"/>
    <col min="12" max="12" width="15.140625" style="430" customWidth="1"/>
    <col min="13" max="13" width="17.42578125" style="430" bestFit="1" customWidth="1"/>
    <col min="14" max="14" width="16.5703125" style="430" customWidth="1"/>
    <col min="15" max="15" width="19.140625" style="430" bestFit="1" customWidth="1"/>
    <col min="16" max="16" width="12.85546875" style="430" bestFit="1" customWidth="1"/>
    <col min="17" max="17" width="8.5703125" style="430"/>
    <col min="18" max="18" width="9.140625" style="430" hidden="1" customWidth="1"/>
    <col min="19" max="26" width="10.42578125" style="430" hidden="1" customWidth="1"/>
    <col min="27" max="27" width="10.5703125" style="430" hidden="1" customWidth="1"/>
    <col min="28" max="30" width="10.42578125" style="430" hidden="1" customWidth="1"/>
    <col min="31" max="16384" width="8.5703125" style="430"/>
  </cols>
  <sheetData>
    <row r="1" spans="1:30" ht="20.25" x14ac:dyDescent="0.3">
      <c r="A1" s="573" t="s">
        <v>119</v>
      </c>
      <c r="B1" s="573"/>
      <c r="C1" s="573"/>
      <c r="D1" s="573"/>
      <c r="E1" s="573"/>
      <c r="F1" s="573"/>
      <c r="G1" s="573"/>
      <c r="H1" s="573"/>
      <c r="I1" s="573"/>
      <c r="J1" s="573"/>
      <c r="K1" s="573"/>
      <c r="L1" s="573"/>
      <c r="M1" s="573"/>
      <c r="N1" s="573"/>
      <c r="O1" s="573"/>
      <c r="P1" s="573"/>
    </row>
    <row r="2" spans="1:30" ht="20.25" x14ac:dyDescent="0.3">
      <c r="A2" s="573" t="s">
        <v>122</v>
      </c>
      <c r="B2" s="573"/>
      <c r="C2" s="573"/>
      <c r="D2" s="573"/>
      <c r="E2" s="573"/>
      <c r="F2" s="573"/>
      <c r="G2" s="573"/>
      <c r="H2" s="573"/>
      <c r="I2" s="573"/>
      <c r="J2" s="573"/>
      <c r="K2" s="573"/>
      <c r="L2" s="573"/>
      <c r="M2" s="573"/>
      <c r="N2" s="573"/>
      <c r="O2" s="573"/>
      <c r="P2" s="573"/>
    </row>
    <row r="3" spans="1:30" ht="18" x14ac:dyDescent="0.25">
      <c r="A3" s="574" t="s">
        <v>334</v>
      </c>
      <c r="B3" s="574"/>
      <c r="C3" s="574"/>
      <c r="D3" s="574"/>
      <c r="E3" s="574"/>
      <c r="F3" s="574"/>
      <c r="G3" s="574"/>
      <c r="H3" s="574"/>
      <c r="I3" s="574"/>
      <c r="J3" s="574"/>
      <c r="K3" s="574"/>
      <c r="L3" s="574"/>
      <c r="M3" s="574"/>
      <c r="N3" s="574"/>
      <c r="O3" s="574"/>
      <c r="P3" s="574"/>
    </row>
    <row r="4" spans="1:30" ht="15.75" x14ac:dyDescent="0.25">
      <c r="A4" s="575" t="str">
        <f>'Customer Info'!B12</f>
        <v>Breakdown of Charges Based on Entered Information</v>
      </c>
      <c r="B4" s="575"/>
      <c r="C4" s="575"/>
      <c r="D4" s="575"/>
      <c r="E4" s="575"/>
      <c r="F4" s="575"/>
      <c r="G4" s="575"/>
      <c r="H4" s="575"/>
      <c r="I4" s="575"/>
      <c r="J4" s="575"/>
      <c r="K4" s="575"/>
      <c r="L4" s="575"/>
      <c r="M4" s="575"/>
      <c r="N4" s="575"/>
      <c r="O4" s="575"/>
      <c r="P4" s="575"/>
    </row>
    <row r="5" spans="1:30" ht="15" x14ac:dyDescent="0.2">
      <c r="A5" s="429"/>
      <c r="B5" s="429"/>
      <c r="C5" s="429"/>
      <c r="D5" s="429"/>
      <c r="E5" s="429"/>
      <c r="F5" s="429"/>
      <c r="G5" s="429"/>
      <c r="H5" s="429" t="s">
        <v>337</v>
      </c>
      <c r="I5" s="429"/>
      <c r="J5" s="429"/>
      <c r="K5" s="429"/>
    </row>
    <row r="6" spans="1:30" x14ac:dyDescent="0.2">
      <c r="A6" s="431">
        <f ca="1">TODAY()</f>
        <v>45532</v>
      </c>
      <c r="B6" s="432"/>
      <c r="C6" s="431"/>
      <c r="D6" s="431"/>
      <c r="E6" s="431"/>
      <c r="F6" s="431"/>
      <c r="G6" s="431"/>
      <c r="H6" s="431"/>
      <c r="I6" s="431"/>
    </row>
    <row r="7" spans="1:30" ht="26.25" x14ac:dyDescent="0.4">
      <c r="A7" s="576"/>
      <c r="B7" s="576"/>
      <c r="C7" s="576"/>
      <c r="D7" s="576"/>
      <c r="E7" s="576"/>
      <c r="F7" s="576"/>
      <c r="G7" s="576"/>
      <c r="H7" s="576"/>
      <c r="I7" s="576"/>
      <c r="J7" s="576"/>
      <c r="K7" s="576"/>
      <c r="L7" s="576"/>
      <c r="M7" s="576"/>
      <c r="N7" s="576"/>
      <c r="O7" s="576"/>
      <c r="P7" s="576"/>
    </row>
    <row r="8" spans="1:30" x14ac:dyDescent="0.2">
      <c r="C8" s="433"/>
      <c r="D8" s="433"/>
      <c r="E8" s="433"/>
      <c r="F8" s="433"/>
      <c r="G8" s="433"/>
      <c r="H8" s="433"/>
      <c r="I8" s="433"/>
      <c r="J8" s="433"/>
      <c r="K8" s="433"/>
    </row>
    <row r="9" spans="1:30" ht="15" x14ac:dyDescent="0.2">
      <c r="A9" s="434" t="s">
        <v>2</v>
      </c>
      <c r="B9" s="435"/>
      <c r="C9" s="436">
        <f>'Customer Info'!B7</f>
        <v>0</v>
      </c>
      <c r="I9" s="437"/>
    </row>
    <row r="10" spans="1:30" ht="15" x14ac:dyDescent="0.2">
      <c r="A10" s="438" t="s">
        <v>26</v>
      </c>
      <c r="B10" s="435"/>
      <c r="C10" s="436">
        <f>'Customer Info'!B8</f>
        <v>0</v>
      </c>
    </row>
    <row r="11" spans="1:30" x14ac:dyDescent="0.2">
      <c r="A11" s="434" t="s">
        <v>3</v>
      </c>
      <c r="B11" s="439">
        <f>'Customer Info'!B9</f>
        <v>9</v>
      </c>
      <c r="C11" s="440" t="str">
        <f>LOOKUP(B11,R11:AD11,R12:AD12)</f>
        <v>September</v>
      </c>
      <c r="D11" s="441">
        <f>'Customer Info'!C9</f>
        <v>2024</v>
      </c>
      <c r="S11" s="430">
        <v>1</v>
      </c>
      <c r="T11" s="430">
        <v>2</v>
      </c>
      <c r="U11" s="430">
        <v>3</v>
      </c>
      <c r="V11" s="430">
        <v>4</v>
      </c>
      <c r="W11" s="430">
        <v>5</v>
      </c>
      <c r="X11" s="430">
        <v>6</v>
      </c>
      <c r="Y11" s="430">
        <v>7</v>
      </c>
      <c r="Z11" s="430">
        <v>8</v>
      </c>
      <c r="AA11" s="430">
        <v>9</v>
      </c>
      <c r="AB11" s="430">
        <v>10</v>
      </c>
      <c r="AC11" s="430">
        <v>11</v>
      </c>
      <c r="AD11" s="430">
        <v>12</v>
      </c>
    </row>
    <row r="12" spans="1:30" x14ac:dyDescent="0.2">
      <c r="A12" s="577"/>
      <c r="B12" s="577"/>
      <c r="C12" s="577"/>
      <c r="D12" s="577"/>
      <c r="E12" s="577"/>
      <c r="F12" s="577"/>
      <c r="G12" s="577"/>
      <c r="H12" s="577"/>
      <c r="I12" s="577"/>
      <c r="J12" s="442"/>
      <c r="K12" s="442"/>
      <c r="L12" s="443"/>
      <c r="M12" s="443"/>
      <c r="N12" s="443"/>
      <c r="O12" s="443"/>
      <c r="P12" s="443"/>
      <c r="R12" s="430" t="s">
        <v>114</v>
      </c>
      <c r="S12" s="519" t="s">
        <v>101</v>
      </c>
      <c r="T12" s="519" t="s">
        <v>102</v>
      </c>
      <c r="U12" s="519" t="s">
        <v>103</v>
      </c>
      <c r="V12" s="519" t="s">
        <v>104</v>
      </c>
      <c r="W12" s="519" t="s">
        <v>105</v>
      </c>
      <c r="X12" s="519" t="s">
        <v>106</v>
      </c>
      <c r="Y12" s="519" t="s">
        <v>107</v>
      </c>
      <c r="Z12" s="519" t="s">
        <v>108</v>
      </c>
      <c r="AA12" s="519" t="s">
        <v>109</v>
      </c>
      <c r="AB12" s="519" t="s">
        <v>111</v>
      </c>
      <c r="AC12" s="519" t="s">
        <v>110</v>
      </c>
      <c r="AD12" s="519" t="s">
        <v>112</v>
      </c>
    </row>
    <row r="13" spans="1:30" x14ac:dyDescent="0.2">
      <c r="A13" s="444" t="s">
        <v>27</v>
      </c>
      <c r="B13" s="445"/>
      <c r="C13" s="445"/>
      <c r="D13" s="445"/>
      <c r="E13" s="445"/>
      <c r="F13" s="445"/>
      <c r="G13" s="445"/>
      <c r="H13" s="445"/>
      <c r="I13" s="445"/>
      <c r="R13" s="459" t="s">
        <v>195</v>
      </c>
      <c r="S13" s="430">
        <f>'Rider Rates'!$C$22</f>
        <v>7.0209999999999995E-2</v>
      </c>
      <c r="T13" s="430">
        <f>'Rider Rates'!$C$22</f>
        <v>7.0209999999999995E-2</v>
      </c>
      <c r="U13" s="430">
        <f>'Rider Rates'!$C$22</f>
        <v>7.0209999999999995E-2</v>
      </c>
      <c r="V13" s="430">
        <f>'Rider Rates'!$C$22</f>
        <v>7.0209999999999995E-2</v>
      </c>
      <c r="W13" s="430">
        <f>'Rider Rates'!$C$22</f>
        <v>7.0209999999999995E-2</v>
      </c>
      <c r="X13" s="430">
        <f>'Rider Rates'!$B$22</f>
        <v>7.0209999999999995E-2</v>
      </c>
      <c r="Y13" s="430">
        <f>'Rider Rates'!$B$22</f>
        <v>7.0209999999999995E-2</v>
      </c>
      <c r="Z13" s="430">
        <f>'Rider Rates'!$B$22</f>
        <v>7.0209999999999995E-2</v>
      </c>
      <c r="AA13" s="430">
        <f>'Rider Rates'!$B$22</f>
        <v>7.0209999999999995E-2</v>
      </c>
      <c r="AB13" s="430">
        <f>'Rider Rates'!$C$22</f>
        <v>7.0209999999999995E-2</v>
      </c>
      <c r="AC13" s="430">
        <f>'Rider Rates'!$C$22</f>
        <v>7.0209999999999995E-2</v>
      </c>
      <c r="AD13" s="430">
        <f>'Rider Rates'!$C$22</f>
        <v>7.0209999999999995E-2</v>
      </c>
    </row>
    <row r="14" spans="1:30" x14ac:dyDescent="0.2">
      <c r="A14" s="433"/>
      <c r="B14" s="433"/>
      <c r="C14" s="433"/>
      <c r="D14" s="433"/>
      <c r="E14" s="433"/>
      <c r="F14" s="433"/>
      <c r="G14" s="433"/>
      <c r="H14" s="433"/>
      <c r="I14" s="433"/>
      <c r="R14" s="433"/>
      <c r="S14" s="520"/>
      <c r="T14" s="520"/>
      <c r="U14" s="520"/>
      <c r="V14" s="520"/>
      <c r="W14" s="520"/>
      <c r="X14" s="520"/>
      <c r="Y14" s="520"/>
      <c r="Z14" s="520"/>
      <c r="AA14" s="520"/>
      <c r="AB14" s="520"/>
      <c r="AC14" s="520"/>
      <c r="AD14" s="520"/>
    </row>
    <row r="15" spans="1:30" x14ac:dyDescent="0.2">
      <c r="A15" s="446" t="s">
        <v>51</v>
      </c>
      <c r="B15" s="446"/>
      <c r="C15" s="447">
        <f>IF('Customer Info'!B22+'Customer Info'!B23-'Customer Info'!B24&lt;0,0,'Customer Info'!B22+'Customer Info'!B23-'Customer Info'!B24)</f>
        <v>0</v>
      </c>
      <c r="D15" s="446" t="s">
        <v>41</v>
      </c>
      <c r="E15" s="446"/>
      <c r="F15" s="448"/>
      <c r="G15" s="446"/>
      <c r="H15" s="446"/>
      <c r="I15" s="446"/>
      <c r="R15" s="433"/>
      <c r="S15" s="520"/>
      <c r="T15" s="520"/>
      <c r="U15" s="520"/>
      <c r="V15" s="520"/>
      <c r="W15" s="520"/>
      <c r="X15" s="520"/>
      <c r="Y15" s="520"/>
      <c r="Z15" s="520"/>
      <c r="AA15" s="520"/>
      <c r="AB15" s="520"/>
      <c r="AC15" s="520"/>
      <c r="AD15" s="520"/>
    </row>
    <row r="16" spans="1:30" x14ac:dyDescent="0.2">
      <c r="A16" s="446" t="s">
        <v>233</v>
      </c>
      <c r="B16" s="446"/>
      <c r="C16" s="447">
        <f>'Customer Info'!B22</f>
        <v>0</v>
      </c>
      <c r="D16" s="446" t="s">
        <v>41</v>
      </c>
      <c r="E16" s="446"/>
      <c r="F16" s="448"/>
      <c r="G16" s="434" t="s">
        <v>15</v>
      </c>
      <c r="H16" s="446"/>
    </row>
    <row r="17" spans="1:221" x14ac:dyDescent="0.2">
      <c r="A17" s="446" t="s">
        <v>234</v>
      </c>
      <c r="B17" s="446"/>
      <c r="C17" s="447">
        <f>'Customer Info'!B23</f>
        <v>0</v>
      </c>
      <c r="D17" s="449" t="s">
        <v>41</v>
      </c>
      <c r="E17" s="448"/>
      <c r="F17" s="448"/>
      <c r="G17" s="434" t="s">
        <v>15</v>
      </c>
      <c r="H17" s="446"/>
      <c r="I17" s="450" t="s">
        <v>15</v>
      </c>
    </row>
    <row r="19" spans="1:221" x14ac:dyDescent="0.2">
      <c r="A19" s="444" t="s">
        <v>31</v>
      </c>
      <c r="B19" s="445"/>
      <c r="C19" s="445"/>
      <c r="D19" s="445"/>
      <c r="E19" s="445"/>
      <c r="F19" s="445"/>
      <c r="G19" s="569" t="s">
        <v>67</v>
      </c>
      <c r="H19" s="570"/>
      <c r="I19" s="570"/>
      <c r="J19" s="571"/>
      <c r="K19" s="445"/>
      <c r="L19" s="572" t="s">
        <v>68</v>
      </c>
      <c r="M19" s="572"/>
      <c r="N19" s="572"/>
      <c r="O19" s="572"/>
    </row>
    <row r="20" spans="1:221" x14ac:dyDescent="0.2">
      <c r="A20" s="433"/>
      <c r="B20" s="433"/>
      <c r="C20" s="433"/>
      <c r="D20" s="433"/>
      <c r="E20" s="433"/>
      <c r="F20" s="433"/>
      <c r="G20" s="451" t="s">
        <v>64</v>
      </c>
      <c r="H20" s="451" t="s">
        <v>65</v>
      </c>
      <c r="I20" s="451" t="s">
        <v>66</v>
      </c>
      <c r="J20" s="452" t="s">
        <v>34</v>
      </c>
      <c r="K20" s="433"/>
      <c r="L20" s="453" t="s">
        <v>64</v>
      </c>
      <c r="M20" s="453" t="s">
        <v>65</v>
      </c>
      <c r="N20" s="453" t="s">
        <v>66</v>
      </c>
      <c r="O20" s="453" t="s">
        <v>34</v>
      </c>
      <c r="P20" s="454" t="s">
        <v>56</v>
      </c>
    </row>
    <row r="21" spans="1:221" x14ac:dyDescent="0.2">
      <c r="A21" s="430" t="s">
        <v>32</v>
      </c>
      <c r="G21" s="455"/>
      <c r="H21" s="455"/>
      <c r="I21" s="455">
        <f>'Rider Rates'!B149</f>
        <v>138.5</v>
      </c>
      <c r="J21" s="455">
        <f>SUM(G21:I21)</f>
        <v>138.5</v>
      </c>
      <c r="L21" s="456"/>
      <c r="M21" s="456"/>
      <c r="N21" s="456">
        <f>I21</f>
        <v>138.5</v>
      </c>
      <c r="O21" s="457">
        <f>SUM(L21:N21)</f>
        <v>138.5</v>
      </c>
      <c r="P21" s="458">
        <v>44531</v>
      </c>
    </row>
    <row r="22" spans="1:221" x14ac:dyDescent="0.2">
      <c r="A22" s="459" t="s">
        <v>302</v>
      </c>
      <c r="D22" s="460">
        <f>C15</f>
        <v>0</v>
      </c>
      <c r="E22" s="461" t="s">
        <v>41</v>
      </c>
      <c r="F22" s="462" t="s">
        <v>8</v>
      </c>
      <c r="G22" s="463"/>
      <c r="H22" s="463"/>
      <c r="I22" s="463">
        <f>'Rider Rates'!C149</f>
        <v>1.3832199999999999E-2</v>
      </c>
      <c r="J22" s="463">
        <f>SUM(G22:I22)</f>
        <v>1.3832199999999999E-2</v>
      </c>
      <c r="K22" s="464" t="s">
        <v>42</v>
      </c>
      <c r="L22" s="457"/>
      <c r="M22" s="457"/>
      <c r="N22" s="457">
        <f>IF(C15&lt;0,0,ROUND($D22*I22,2))</f>
        <v>0</v>
      </c>
      <c r="O22" s="457">
        <f>SUM(L22:N22)</f>
        <v>0</v>
      </c>
      <c r="P22" s="458">
        <f>'Rider Rates'!H149</f>
        <v>45444</v>
      </c>
    </row>
    <row r="23" spans="1:221" x14ac:dyDescent="0.2">
      <c r="A23" s="465" t="s">
        <v>50</v>
      </c>
      <c r="B23" s="465"/>
      <c r="C23" s="465"/>
      <c r="D23" s="466"/>
      <c r="E23" s="466"/>
      <c r="F23" s="465"/>
      <c r="G23" s="465"/>
      <c r="H23" s="465"/>
      <c r="I23" s="465"/>
      <c r="J23" s="465"/>
      <c r="K23" s="467"/>
      <c r="L23" s="468"/>
      <c r="M23" s="468"/>
      <c r="N23" s="468">
        <f>SUM(N21:N22)</f>
        <v>138.5</v>
      </c>
      <c r="O23" s="468">
        <f>SUM(O21:O22)</f>
        <v>138.5</v>
      </c>
    </row>
    <row r="24" spans="1:221" x14ac:dyDescent="0.2">
      <c r="A24" s="469"/>
      <c r="B24" s="469"/>
      <c r="C24" s="470"/>
      <c r="D24" s="470"/>
      <c r="E24" s="470"/>
      <c r="F24" s="470"/>
      <c r="G24" s="471"/>
      <c r="H24" s="471"/>
      <c r="I24" s="471"/>
      <c r="J24" s="471"/>
      <c r="K24" s="469"/>
      <c r="L24" s="469"/>
      <c r="M24" s="469"/>
      <c r="N24" s="469"/>
      <c r="O24" s="469"/>
      <c r="P24" s="469"/>
    </row>
    <row r="25" spans="1:221" x14ac:dyDescent="0.2">
      <c r="A25" s="472" t="s">
        <v>69</v>
      </c>
      <c r="B25" s="473"/>
      <c r="C25" s="473"/>
      <c r="D25" s="474"/>
      <c r="E25" s="474"/>
      <c r="F25" s="473"/>
      <c r="G25" s="474"/>
      <c r="H25" s="474"/>
      <c r="I25" s="474"/>
      <c r="J25" s="474"/>
      <c r="K25" s="474"/>
      <c r="L25" s="474"/>
      <c r="M25" s="474"/>
      <c r="N25" s="474"/>
      <c r="O25" s="474"/>
      <c r="P25" s="475"/>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row>
    <row r="26" spans="1:221" x14ac:dyDescent="0.2">
      <c r="P26" s="476"/>
      <c r="Q26" s="490"/>
      <c r="R26" s="521"/>
      <c r="S26" s="522"/>
      <c r="T26" s="510"/>
      <c r="U26" s="433"/>
      <c r="V26" s="52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row>
    <row r="27" spans="1:221" x14ac:dyDescent="0.2">
      <c r="A27" s="477" t="s">
        <v>78</v>
      </c>
      <c r="B27" s="478"/>
      <c r="C27" s="478"/>
      <c r="D27" s="460">
        <f>IF($C$15&lt;0,0,IF($C$15&gt;833000,833000,$C$15))</f>
        <v>0</v>
      </c>
      <c r="E27" s="461" t="s">
        <v>41</v>
      </c>
      <c r="F27" s="462" t="s">
        <v>8</v>
      </c>
      <c r="G27" s="479"/>
      <c r="H27" s="479"/>
      <c r="I27" s="479">
        <f>'Rider Rates'!$B$4</f>
        <v>5.9216E-3</v>
      </c>
      <c r="J27" s="479">
        <f t="shared" ref="J27:J48" si="0">SUM(G27:I27)</f>
        <v>5.9216E-3</v>
      </c>
      <c r="K27" s="464" t="s">
        <v>42</v>
      </c>
      <c r="L27" s="250"/>
      <c r="M27" s="250"/>
      <c r="N27" s="250">
        <f t="shared" ref="N27:N32" si="1">ROUND(D27*I27,2)</f>
        <v>0</v>
      </c>
      <c r="O27" s="250">
        <f t="shared" ref="O27:O49" si="2">SUM(L27:N27)</f>
        <v>0</v>
      </c>
      <c r="P27" s="458">
        <f>'Rider Rates'!$D$4</f>
        <v>45293</v>
      </c>
      <c r="Q27" s="490"/>
      <c r="R27" s="505"/>
      <c r="S27" s="522"/>
      <c r="T27" s="510"/>
      <c r="U27" s="433"/>
      <c r="V27" s="52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row>
    <row r="28" spans="1:221" x14ac:dyDescent="0.2">
      <c r="A28" s="477" t="s">
        <v>79</v>
      </c>
      <c r="B28" s="433"/>
      <c r="C28" s="433"/>
      <c r="D28" s="427">
        <f>IF($C$15&gt;833000,$C$15-833000,0)</f>
        <v>0</v>
      </c>
      <c r="E28" s="461" t="s">
        <v>41</v>
      </c>
      <c r="F28" s="462" t="s">
        <v>8</v>
      </c>
      <c r="G28" s="479"/>
      <c r="H28" s="479"/>
      <c r="I28" s="479">
        <f>'Rider Rates'!$B$5</f>
        <v>1.7560000000000001E-4</v>
      </c>
      <c r="J28" s="479">
        <f t="shared" si="0"/>
        <v>1.7560000000000001E-4</v>
      </c>
      <c r="K28" s="464" t="s">
        <v>42</v>
      </c>
      <c r="L28" s="250"/>
      <c r="M28" s="250"/>
      <c r="N28" s="250">
        <f t="shared" si="1"/>
        <v>0</v>
      </c>
      <c r="O28" s="250">
        <f t="shared" si="2"/>
        <v>0</v>
      </c>
      <c r="P28" s="458">
        <f>'Rider Rates'!$D$4</f>
        <v>45293</v>
      </c>
      <c r="Q28" s="490"/>
      <c r="R28" s="505"/>
      <c r="S28" s="522"/>
      <c r="T28" s="510"/>
      <c r="U28" s="433"/>
      <c r="V28" s="52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row>
    <row r="29" spans="1:221" x14ac:dyDescent="0.2">
      <c r="A29" s="477" t="s">
        <v>96</v>
      </c>
      <c r="B29" s="433"/>
      <c r="C29" s="433"/>
      <c r="D29" s="460">
        <f>IF('Customer Info'!$C$33=TRUE,0,IF($C$15&lt;0,0,IF($C$15&gt;2000,2000,$C$15)))</f>
        <v>0</v>
      </c>
      <c r="E29" s="461" t="s">
        <v>41</v>
      </c>
      <c r="F29" s="462" t="s">
        <v>8</v>
      </c>
      <c r="G29" s="479"/>
      <c r="H29" s="479"/>
      <c r="I29" s="480">
        <f>'Rider Rates'!$B$8</f>
        <v>4.6499999999999996E-3</v>
      </c>
      <c r="J29" s="480">
        <f t="shared" si="0"/>
        <v>4.6499999999999996E-3</v>
      </c>
      <c r="K29" s="464" t="s">
        <v>42</v>
      </c>
      <c r="L29" s="250"/>
      <c r="M29" s="250"/>
      <c r="N29" s="250">
        <f t="shared" si="1"/>
        <v>0</v>
      </c>
      <c r="O29" s="250">
        <f t="shared" si="2"/>
        <v>0</v>
      </c>
      <c r="P29" s="458">
        <f>'Rider Rates'!$D$7</f>
        <v>44531</v>
      </c>
      <c r="Q29" s="490"/>
      <c r="R29" s="505"/>
      <c r="S29" s="522"/>
      <c r="T29" s="510"/>
      <c r="U29" s="433"/>
      <c r="V29" s="52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row>
    <row r="30" spans="1:221" x14ac:dyDescent="0.2">
      <c r="A30" s="477" t="s">
        <v>97</v>
      </c>
      <c r="B30" s="433"/>
      <c r="C30" s="433"/>
      <c r="D30" s="460">
        <f>IF('Customer Info'!$C$33=TRUE,0,IF($C$15&lt;=2000,0,IF($C$15=0,0,IF($C$15-2000&gt;13000,13000,$C$15-2000))))</f>
        <v>0</v>
      </c>
      <c r="E30" s="461" t="s">
        <v>41</v>
      </c>
      <c r="F30" s="462" t="s">
        <v>8</v>
      </c>
      <c r="G30" s="479"/>
      <c r="H30" s="479"/>
      <c r="I30" s="480">
        <f>'Rider Rates'!$B$9</f>
        <v>4.1900000000000001E-3</v>
      </c>
      <c r="J30" s="480">
        <f t="shared" si="0"/>
        <v>4.1900000000000001E-3</v>
      </c>
      <c r="K30" s="464" t="s">
        <v>42</v>
      </c>
      <c r="L30" s="250"/>
      <c r="M30" s="250"/>
      <c r="N30" s="250">
        <f t="shared" si="1"/>
        <v>0</v>
      </c>
      <c r="O30" s="250">
        <f t="shared" si="2"/>
        <v>0</v>
      </c>
      <c r="P30" s="458">
        <f>'Rider Rates'!$D$7</f>
        <v>44531</v>
      </c>
      <c r="Q30" s="490"/>
      <c r="R30" s="505"/>
      <c r="S30" s="522"/>
      <c r="T30" s="510"/>
      <c r="U30" s="433"/>
      <c r="V30" s="52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row>
    <row r="31" spans="1:221" x14ac:dyDescent="0.2">
      <c r="A31" s="477" t="s">
        <v>98</v>
      </c>
      <c r="B31" s="433"/>
      <c r="C31" s="433"/>
      <c r="D31" s="460">
        <f>IF('Customer Info'!$C$33=TRUE,0,IF($C$15=0,0,IF($C$15-15000&gt;=0,$C$15-15000,0)))</f>
        <v>0</v>
      </c>
      <c r="E31" s="461" t="s">
        <v>41</v>
      </c>
      <c r="F31" s="462" t="s">
        <v>8</v>
      </c>
      <c r="G31" s="479"/>
      <c r="H31" s="479"/>
      <c r="I31" s="480">
        <f>'Rider Rates'!$B$10</f>
        <v>3.63E-3</v>
      </c>
      <c r="J31" s="480">
        <f t="shared" si="0"/>
        <v>3.63E-3</v>
      </c>
      <c r="K31" s="464" t="s">
        <v>42</v>
      </c>
      <c r="L31" s="250"/>
      <c r="M31" s="250"/>
      <c r="N31" s="250">
        <f t="shared" si="1"/>
        <v>0</v>
      </c>
      <c r="O31" s="250">
        <f t="shared" si="2"/>
        <v>0</v>
      </c>
      <c r="P31" s="458">
        <f>'Rider Rates'!$D$7</f>
        <v>44531</v>
      </c>
      <c r="Q31" s="490"/>
      <c r="R31" s="505"/>
      <c r="S31" s="522"/>
      <c r="T31" s="510"/>
      <c r="U31" s="433"/>
      <c r="V31" s="52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row>
    <row r="32" spans="1:221" x14ac:dyDescent="0.2">
      <c r="A32" s="432" t="s">
        <v>159</v>
      </c>
      <c r="B32" s="433"/>
      <c r="C32" s="433"/>
      <c r="D32" s="460">
        <f>IF($C$15&lt;0,0,$C$15)</f>
        <v>0</v>
      </c>
      <c r="E32" s="461" t="s">
        <v>41</v>
      </c>
      <c r="F32" s="462" t="s">
        <v>8</v>
      </c>
      <c r="G32" s="479"/>
      <c r="H32" s="479"/>
      <c r="I32" s="479">
        <f>'Rider Rates'!$B$16</f>
        <v>0</v>
      </c>
      <c r="J32" s="479">
        <f>SUM(G32:I32)</f>
        <v>0</v>
      </c>
      <c r="K32" s="464" t="s">
        <v>42</v>
      </c>
      <c r="L32" s="250"/>
      <c r="M32" s="250"/>
      <c r="N32" s="250">
        <f t="shared" si="1"/>
        <v>0</v>
      </c>
      <c r="O32" s="250">
        <f t="shared" si="2"/>
        <v>0</v>
      </c>
      <c r="P32" s="458">
        <f>'Rider Rates'!$D$16</f>
        <v>45197</v>
      </c>
      <c r="Q32" s="490"/>
      <c r="R32" s="505"/>
      <c r="S32" s="522"/>
      <c r="T32" s="510"/>
      <c r="U32" s="433"/>
      <c r="V32" s="52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row>
    <row r="33" spans="1:221" x14ac:dyDescent="0.2">
      <c r="A33" s="432" t="s">
        <v>245</v>
      </c>
      <c r="B33" s="433"/>
      <c r="C33" s="433"/>
      <c r="D33" s="428">
        <f>$N$23</f>
        <v>138.5</v>
      </c>
      <c r="E33" s="461" t="s">
        <v>121</v>
      </c>
      <c r="F33" s="462" t="s">
        <v>8</v>
      </c>
      <c r="G33" s="479"/>
      <c r="H33" s="479"/>
      <c r="I33" s="481">
        <f>'Rider Rates'!$B$18+'Rider Rates'!$E$18</f>
        <v>0</v>
      </c>
      <c r="J33" s="481">
        <f>SUM(G33:I33)</f>
        <v>0</v>
      </c>
      <c r="K33" s="464"/>
      <c r="L33" s="250"/>
      <c r="M33" s="250"/>
      <c r="N33" s="250">
        <f>ROUND($D$33*'Rider Rates'!$B$18,2)+ROUND($D$33*'Rider Rates'!$E$18,2)</f>
        <v>0</v>
      </c>
      <c r="O33" s="250">
        <f t="shared" si="2"/>
        <v>0</v>
      </c>
      <c r="P33" s="458">
        <f>MAX('Rider Rates'!$D$18,'Rider Rates'!$F$18)</f>
        <v>44531</v>
      </c>
      <c r="Q33" s="490"/>
      <c r="R33" s="505"/>
      <c r="S33" s="522"/>
      <c r="T33" s="510"/>
      <c r="U33" s="433"/>
      <c r="V33" s="52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row>
    <row r="34" spans="1:221" x14ac:dyDescent="0.2">
      <c r="A34" s="432" t="s">
        <v>194</v>
      </c>
      <c r="B34" s="433"/>
      <c r="C34" s="433"/>
      <c r="D34" s="460">
        <f>C15</f>
        <v>0</v>
      </c>
      <c r="E34" s="461" t="s">
        <v>41</v>
      </c>
      <c r="F34" s="462" t="s">
        <v>8</v>
      </c>
      <c r="G34" s="479"/>
      <c r="H34" s="479"/>
      <c r="I34" s="479"/>
      <c r="J34" s="482">
        <f>SUM(G34:H34)</f>
        <v>0</v>
      </c>
      <c r="K34" s="464" t="s">
        <v>42</v>
      </c>
      <c r="L34" s="250">
        <f>ROUND(D34*G34,2)</f>
        <v>0</v>
      </c>
      <c r="M34" s="250"/>
      <c r="N34" s="250"/>
      <c r="O34" s="250">
        <f t="shared" si="2"/>
        <v>0</v>
      </c>
      <c r="P34" s="458">
        <f>'Rider Rates'!$D$22</f>
        <v>45444</v>
      </c>
      <c r="Q34" s="490"/>
      <c r="R34" s="505"/>
      <c r="S34" s="522"/>
      <c r="T34" s="510"/>
      <c r="U34" s="433"/>
      <c r="V34" s="52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row>
    <row r="35" spans="1:221" x14ac:dyDescent="0.2">
      <c r="A35" s="432" t="s">
        <v>164</v>
      </c>
      <c r="B35" s="433"/>
      <c r="C35" s="433"/>
      <c r="D35" s="460">
        <f>C16</f>
        <v>0</v>
      </c>
      <c r="E35" s="461" t="s">
        <v>41</v>
      </c>
      <c r="F35" s="462" t="s">
        <v>8</v>
      </c>
      <c r="G35" s="479"/>
      <c r="H35" s="479"/>
      <c r="I35" s="479"/>
      <c r="J35" s="482">
        <f>SUM(G35:H35)</f>
        <v>0</v>
      </c>
      <c r="K35" s="464" t="s">
        <v>42</v>
      </c>
      <c r="L35" s="250">
        <f>ROUND(D35*G35,2)</f>
        <v>0</v>
      </c>
      <c r="M35" s="250"/>
      <c r="N35" s="250"/>
      <c r="O35" s="250">
        <f t="shared" si="2"/>
        <v>0</v>
      </c>
      <c r="P35" s="458">
        <f>'Rider Rates'!$D$38</f>
        <v>45444</v>
      </c>
      <c r="Q35" s="490"/>
      <c r="R35" s="505"/>
      <c r="S35" s="522"/>
      <c r="T35" s="510"/>
      <c r="U35" s="433"/>
      <c r="V35" s="52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row>
    <row r="36" spans="1:221" x14ac:dyDescent="0.2">
      <c r="A36" s="432" t="s">
        <v>227</v>
      </c>
      <c r="B36" s="433"/>
      <c r="C36" s="433"/>
      <c r="D36" s="460">
        <f>C17</f>
        <v>0</v>
      </c>
      <c r="E36" s="461" t="s">
        <v>41</v>
      </c>
      <c r="F36" s="454" t="s">
        <v>8</v>
      </c>
      <c r="G36" s="479"/>
      <c r="H36" s="479"/>
      <c r="I36" s="479"/>
      <c r="J36" s="482">
        <f>SUM(G36:H36)</f>
        <v>0</v>
      </c>
      <c r="K36" s="464" t="s">
        <v>42</v>
      </c>
      <c r="L36" s="250">
        <f>ROUND(D36*G36,2)</f>
        <v>0</v>
      </c>
      <c r="M36" s="250"/>
      <c r="N36" s="250"/>
      <c r="O36" s="250">
        <f t="shared" si="2"/>
        <v>0</v>
      </c>
      <c r="P36" s="458">
        <f>'Rider Rates'!D39</f>
        <v>45444</v>
      </c>
      <c r="Q36" s="490"/>
      <c r="R36" s="505"/>
      <c r="S36" s="522"/>
      <c r="T36" s="510"/>
      <c r="U36" s="433"/>
      <c r="V36" s="52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row>
    <row r="37" spans="1:221" x14ac:dyDescent="0.2">
      <c r="A37" s="432" t="s">
        <v>201</v>
      </c>
      <c r="B37" s="433"/>
      <c r="C37" s="433"/>
      <c r="D37" s="460">
        <f>C16+C17</f>
        <v>0</v>
      </c>
      <c r="E37" s="461" t="s">
        <v>41</v>
      </c>
      <c r="F37" s="462" t="s">
        <v>8</v>
      </c>
      <c r="G37" s="479"/>
      <c r="H37" s="479"/>
      <c r="I37" s="479"/>
      <c r="J37" s="482">
        <f>SUM(G37:H37)</f>
        <v>0</v>
      </c>
      <c r="K37" s="464" t="s">
        <v>42</v>
      </c>
      <c r="L37" s="250">
        <f>ROUND(D37*G37,2)</f>
        <v>0</v>
      </c>
      <c r="M37" s="250"/>
      <c r="N37" s="250"/>
      <c r="O37" s="250">
        <f t="shared" si="2"/>
        <v>0</v>
      </c>
      <c r="P37" s="458">
        <f>'Rider Rates'!$D$49</f>
        <v>45471</v>
      </c>
      <c r="Q37" s="490"/>
      <c r="R37" s="505"/>
      <c r="S37" s="522"/>
      <c r="T37" s="510"/>
      <c r="U37" s="433"/>
      <c r="V37" s="52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row>
    <row r="38" spans="1:221" x14ac:dyDescent="0.2">
      <c r="A38" s="483" t="s">
        <v>218</v>
      </c>
      <c r="B38" s="433"/>
      <c r="C38" s="433"/>
      <c r="D38" s="460">
        <f>IF($C$15&lt;0,0,IF($C$15&gt;833000,833000,$C$15))</f>
        <v>0</v>
      </c>
      <c r="E38" s="461" t="s">
        <v>41</v>
      </c>
      <c r="F38" s="462" t="s">
        <v>8</v>
      </c>
      <c r="G38" s="479"/>
      <c r="H38" s="479"/>
      <c r="I38" s="479">
        <f>'Rider Rates'!D53</f>
        <v>1.8006999999999999E-3</v>
      </c>
      <c r="J38" s="479">
        <f>SUM(G38:I38)</f>
        <v>1.8006999999999999E-3</v>
      </c>
      <c r="K38" s="464" t="s">
        <v>42</v>
      </c>
      <c r="L38" s="250"/>
      <c r="M38" s="250"/>
      <c r="N38" s="250">
        <f>D38*J38</f>
        <v>0</v>
      </c>
      <c r="O38" s="250">
        <f t="shared" si="2"/>
        <v>0</v>
      </c>
      <c r="P38" s="458">
        <f>'Rider Rates'!E53</f>
        <v>45474</v>
      </c>
      <c r="Q38" s="490"/>
      <c r="R38" s="505"/>
      <c r="S38" s="522"/>
      <c r="T38" s="510"/>
      <c r="U38" s="433"/>
      <c r="V38" s="52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c r="GD38" s="433"/>
      <c r="GE38" s="433"/>
      <c r="GF38" s="433"/>
      <c r="GG38" s="433"/>
      <c r="GH38" s="433"/>
      <c r="GI38" s="433"/>
      <c r="GJ38" s="433"/>
      <c r="GK38" s="433"/>
      <c r="GL38" s="433"/>
      <c r="GM38" s="433"/>
      <c r="GN38" s="433"/>
      <c r="GO38" s="433"/>
      <c r="GP38" s="433"/>
      <c r="GQ38" s="433"/>
      <c r="GR38" s="433"/>
      <c r="GS38" s="433"/>
      <c r="GT38" s="433"/>
      <c r="GU38" s="433"/>
      <c r="GV38" s="433"/>
      <c r="GW38" s="433"/>
      <c r="GX38" s="433"/>
      <c r="GY38" s="433"/>
      <c r="GZ38" s="433"/>
      <c r="HA38" s="433"/>
      <c r="HB38" s="433"/>
      <c r="HC38" s="433"/>
      <c r="HD38" s="433"/>
      <c r="HE38" s="433"/>
      <c r="HF38" s="433"/>
      <c r="HG38" s="433"/>
      <c r="HH38" s="433"/>
      <c r="HI38" s="433"/>
      <c r="HJ38" s="433"/>
      <c r="HK38" s="433"/>
      <c r="HL38" s="433"/>
      <c r="HM38" s="433"/>
    </row>
    <row r="39" spans="1:221" x14ac:dyDescent="0.2">
      <c r="A39" s="432" t="s">
        <v>197</v>
      </c>
      <c r="B39" s="433"/>
      <c r="C39" s="433"/>
      <c r="D39" s="460">
        <f>IF($C$15&lt;0,0,$C$15)</f>
        <v>0</v>
      </c>
      <c r="E39" s="484" t="s">
        <v>41</v>
      </c>
      <c r="F39" s="462" t="s">
        <v>8</v>
      </c>
      <c r="G39" s="479"/>
      <c r="H39" s="479">
        <f>'Rider Rates'!$B$60</f>
        <v>2.3467399999999999E-2</v>
      </c>
      <c r="I39" s="479"/>
      <c r="J39" s="479">
        <f>SUM(G39:I39)</f>
        <v>2.3467399999999999E-2</v>
      </c>
      <c r="K39" s="464" t="s">
        <v>42</v>
      </c>
      <c r="L39" s="250"/>
      <c r="M39" s="250">
        <f>ROUND(D39*H39,2)</f>
        <v>0</v>
      </c>
      <c r="N39" s="485"/>
      <c r="O39" s="250">
        <f t="shared" si="2"/>
        <v>0</v>
      </c>
      <c r="P39" s="458">
        <f>'Rider Rates'!$D$60</f>
        <v>45383</v>
      </c>
      <c r="Q39" s="490"/>
      <c r="R39" s="505"/>
      <c r="S39" s="522"/>
      <c r="T39" s="510"/>
      <c r="U39" s="433"/>
      <c r="V39" s="52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c r="GD39" s="433"/>
      <c r="GE39" s="433"/>
      <c r="GF39" s="433"/>
      <c r="GG39" s="433"/>
      <c r="GH39" s="433"/>
      <c r="GI39" s="433"/>
      <c r="GJ39" s="433"/>
      <c r="GK39" s="433"/>
      <c r="GL39" s="433"/>
      <c r="GM39" s="433"/>
      <c r="GN39" s="433"/>
      <c r="GO39" s="433"/>
      <c r="GP39" s="433"/>
      <c r="GQ39" s="433"/>
      <c r="GR39" s="433"/>
      <c r="GS39" s="433"/>
      <c r="GT39" s="433"/>
      <c r="GU39" s="433"/>
      <c r="GV39" s="433"/>
      <c r="GW39" s="433"/>
      <c r="GX39" s="433"/>
      <c r="GY39" s="433"/>
      <c r="GZ39" s="433"/>
      <c r="HA39" s="433"/>
      <c r="HB39" s="433"/>
      <c r="HC39" s="433"/>
      <c r="HD39" s="433"/>
      <c r="HE39" s="433"/>
      <c r="HF39" s="433"/>
      <c r="HG39" s="433"/>
      <c r="HH39" s="433"/>
      <c r="HI39" s="433"/>
      <c r="HJ39" s="433"/>
      <c r="HK39" s="433"/>
      <c r="HL39" s="433"/>
      <c r="HM39" s="433"/>
    </row>
    <row r="40" spans="1:221" x14ac:dyDescent="0.2">
      <c r="A40" s="477" t="s">
        <v>95</v>
      </c>
      <c r="B40" s="433"/>
      <c r="C40" s="433"/>
      <c r="D40" s="460">
        <f>IF('Customer Info'!C35=TRUE,0,IF($C$15&lt;0,0,$C$15))</f>
        <v>0</v>
      </c>
      <c r="E40" s="461" t="s">
        <v>41</v>
      </c>
      <c r="F40" s="462" t="s">
        <v>8</v>
      </c>
      <c r="G40" s="479"/>
      <c r="H40" s="479"/>
      <c r="I40" s="479">
        <f>'Rider Rates'!$B$74+'Rider Rates'!$C$74</f>
        <v>0</v>
      </c>
      <c r="J40" s="479">
        <f t="shared" si="0"/>
        <v>0</v>
      </c>
      <c r="K40" s="464" t="s">
        <v>42</v>
      </c>
      <c r="L40" s="250"/>
      <c r="M40" s="250"/>
      <c r="N40" s="250">
        <f>ROUND($D$40*'Rider Rates'!$B$74,2)+ROUND($D$40*'Rider Rates'!$C$74,2)</f>
        <v>0</v>
      </c>
      <c r="O40" s="250">
        <f t="shared" si="2"/>
        <v>0</v>
      </c>
      <c r="P40" s="458">
        <f>'Rider Rates'!$D$74</f>
        <v>44531</v>
      </c>
      <c r="Q40" s="490"/>
      <c r="R40" s="505"/>
      <c r="S40" s="522"/>
      <c r="T40" s="510"/>
      <c r="U40" s="433"/>
      <c r="V40" s="52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row>
    <row r="41" spans="1:221" x14ac:dyDescent="0.2">
      <c r="A41" s="477" t="s">
        <v>95</v>
      </c>
      <c r="B41" s="433"/>
      <c r="C41" s="433"/>
      <c r="D41" s="460"/>
      <c r="E41" s="461" t="s">
        <v>114</v>
      </c>
      <c r="F41" s="462"/>
      <c r="G41" s="479"/>
      <c r="H41" s="479"/>
      <c r="I41" s="486">
        <f>'Rider Rates'!$B$81</f>
        <v>0</v>
      </c>
      <c r="J41" s="486">
        <f>IF('Customer Info'!C35=TRUE,0,SUM(G41:I41))</f>
        <v>0</v>
      </c>
      <c r="K41" s="464"/>
      <c r="L41" s="250"/>
      <c r="M41" s="250"/>
      <c r="N41" s="250">
        <f>J41</f>
        <v>0</v>
      </c>
      <c r="O41" s="250">
        <f>SUM(L41:N41)</f>
        <v>0</v>
      </c>
      <c r="P41" s="458">
        <v>44531</v>
      </c>
      <c r="Q41" s="490"/>
      <c r="R41" s="505"/>
      <c r="S41" s="522"/>
      <c r="T41" s="510"/>
      <c r="U41" s="433"/>
      <c r="V41" s="52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row>
    <row r="42" spans="1:221" x14ac:dyDescent="0.2">
      <c r="A42" s="477" t="s">
        <v>80</v>
      </c>
      <c r="B42" s="433"/>
      <c r="C42" s="433"/>
      <c r="D42" s="428">
        <f>$N$23</f>
        <v>138.5</v>
      </c>
      <c r="E42" s="461" t="s">
        <v>121</v>
      </c>
      <c r="F42" s="462" t="s">
        <v>8</v>
      </c>
      <c r="G42" s="487"/>
      <c r="H42" s="452"/>
      <c r="I42" s="488">
        <f>'Rider Rates'!$B$89</f>
        <v>2.9347000000000002E-2</v>
      </c>
      <c r="J42" s="488">
        <f t="shared" si="0"/>
        <v>2.9347000000000002E-2</v>
      </c>
      <c r="K42" s="464"/>
      <c r="L42" s="250"/>
      <c r="M42" s="250"/>
      <c r="N42" s="250">
        <f>ROUND(D42*I42,2)</f>
        <v>4.0599999999999996</v>
      </c>
      <c r="O42" s="250">
        <f t="shared" si="2"/>
        <v>4.0599999999999996</v>
      </c>
      <c r="P42" s="458">
        <f>'Rider Rates'!$D$89</f>
        <v>45383</v>
      </c>
      <c r="Q42" s="490"/>
      <c r="R42" s="505"/>
      <c r="S42" s="522"/>
      <c r="T42" s="510"/>
      <c r="U42" s="433"/>
      <c r="V42" s="52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row>
    <row r="43" spans="1:221" x14ac:dyDescent="0.2">
      <c r="A43" s="477" t="s">
        <v>81</v>
      </c>
      <c r="B43" s="433"/>
      <c r="C43" s="433"/>
      <c r="D43" s="428">
        <f>$N$23</f>
        <v>138.5</v>
      </c>
      <c r="E43" s="461" t="s">
        <v>121</v>
      </c>
      <c r="F43" s="462" t="s">
        <v>8</v>
      </c>
      <c r="G43" s="489"/>
      <c r="H43" s="452"/>
      <c r="I43" s="488">
        <f>'Rider Rates'!$B$91</f>
        <v>6.6985699999999995E-2</v>
      </c>
      <c r="J43" s="488">
        <f t="shared" si="0"/>
        <v>6.6985699999999995E-2</v>
      </c>
      <c r="K43" s="464"/>
      <c r="L43" s="250"/>
      <c r="M43" s="250"/>
      <c r="N43" s="250">
        <f>ROUND(D43*I43,2)</f>
        <v>9.2799999999999994</v>
      </c>
      <c r="O43" s="250">
        <f t="shared" si="2"/>
        <v>9.2799999999999994</v>
      </c>
      <c r="P43" s="458">
        <f>'Rider Rates'!$D$91</f>
        <v>45167</v>
      </c>
      <c r="Q43" s="490"/>
      <c r="R43" s="505"/>
      <c r="S43" s="522"/>
      <c r="T43" s="510"/>
      <c r="U43" s="433"/>
      <c r="V43" s="52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row>
    <row r="44" spans="1:221" x14ac:dyDescent="0.2">
      <c r="A44" s="432" t="s">
        <v>214</v>
      </c>
      <c r="B44" s="433"/>
      <c r="C44" s="433"/>
      <c r="D44" s="428"/>
      <c r="E44" s="484" t="s">
        <v>114</v>
      </c>
      <c r="F44" s="490"/>
      <c r="G44" s="489"/>
      <c r="H44" s="452"/>
      <c r="I44" s="486">
        <f>'Rider Rates'!$B$95</f>
        <v>11.97</v>
      </c>
      <c r="J44" s="486">
        <f t="shared" si="0"/>
        <v>11.97</v>
      </c>
      <c r="K44" s="464"/>
      <c r="L44" s="250"/>
      <c r="M44" s="250"/>
      <c r="N44" s="250">
        <f>I44</f>
        <v>11.97</v>
      </c>
      <c r="O44" s="250">
        <f t="shared" si="2"/>
        <v>11.97</v>
      </c>
      <c r="P44" s="458">
        <f>'Rider Rates'!$D$95</f>
        <v>45442</v>
      </c>
      <c r="Q44" s="490"/>
      <c r="R44" s="505"/>
      <c r="S44" s="522"/>
      <c r="T44" s="510"/>
      <c r="U44" s="433"/>
      <c r="V44" s="52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row>
    <row r="45" spans="1:221" x14ac:dyDescent="0.2">
      <c r="A45" s="432" t="s">
        <v>247</v>
      </c>
      <c r="B45" s="433"/>
      <c r="C45" s="433"/>
      <c r="D45" s="460">
        <f>IF($C$15&lt;0,0,$C$15)</f>
        <v>0</v>
      </c>
      <c r="E45" s="461" t="s">
        <v>41</v>
      </c>
      <c r="F45" s="462" t="s">
        <v>8</v>
      </c>
      <c r="G45" s="479"/>
      <c r="H45" s="479"/>
      <c r="I45" s="479"/>
      <c r="J45" s="479">
        <f>'Rider Rates'!$B$99</f>
        <v>0</v>
      </c>
      <c r="K45" s="464" t="s">
        <v>42</v>
      </c>
      <c r="L45" s="250"/>
      <c r="M45" s="250"/>
      <c r="N45" s="250"/>
      <c r="O45" s="250">
        <f>ROUND($D45*('Rider Rates'!B$99),2)</f>
        <v>0</v>
      </c>
      <c r="P45" s="458">
        <f>'Rider Rates'!$D$99</f>
        <v>44531</v>
      </c>
      <c r="Q45" s="490"/>
      <c r="R45" s="505"/>
      <c r="S45" s="522"/>
      <c r="T45" s="510"/>
      <c r="U45" s="433"/>
      <c r="V45" s="52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row>
    <row r="46" spans="1:221" x14ac:dyDescent="0.2">
      <c r="A46" s="477" t="s">
        <v>156</v>
      </c>
      <c r="B46" s="433"/>
      <c r="C46" s="433"/>
      <c r="D46" s="428">
        <f>$N$23</f>
        <v>138.5</v>
      </c>
      <c r="E46" s="461" t="s">
        <v>121</v>
      </c>
      <c r="F46" s="462" t="s">
        <v>8</v>
      </c>
      <c r="G46" s="489"/>
      <c r="H46" s="452"/>
      <c r="I46" s="488">
        <f>'Rider Rates'!$B$109</f>
        <v>0.211176</v>
      </c>
      <c r="J46" s="488">
        <f t="shared" si="0"/>
        <v>0.211176</v>
      </c>
      <c r="K46" s="464"/>
      <c r="L46" s="250"/>
      <c r="M46" s="250"/>
      <c r="N46" s="250">
        <f>ROUND(D46*I46,2)</f>
        <v>29.25</v>
      </c>
      <c r="O46" s="250">
        <f t="shared" si="2"/>
        <v>29.25</v>
      </c>
      <c r="P46" s="458">
        <f>'Rider Rates'!$D$109</f>
        <v>45532</v>
      </c>
      <c r="Q46" s="490"/>
      <c r="R46" s="505"/>
      <c r="S46" s="522"/>
      <c r="T46" s="510"/>
      <c r="U46" s="433"/>
      <c r="V46" s="52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row>
    <row r="47" spans="1:221" x14ac:dyDescent="0.2">
      <c r="A47" s="432" t="s">
        <v>217</v>
      </c>
      <c r="B47" s="433"/>
      <c r="C47" s="433"/>
      <c r="D47" s="428"/>
      <c r="E47" s="484" t="s">
        <v>114</v>
      </c>
      <c r="F47" s="490"/>
      <c r="G47" s="489"/>
      <c r="H47" s="452"/>
      <c r="I47" s="486">
        <f>'Rider Rates'!$B$113</f>
        <v>0</v>
      </c>
      <c r="J47" s="486">
        <f t="shared" si="0"/>
        <v>0</v>
      </c>
      <c r="K47" s="464"/>
      <c r="L47" s="250"/>
      <c r="M47" s="250"/>
      <c r="N47" s="250">
        <f>I47</f>
        <v>0</v>
      </c>
      <c r="O47" s="250">
        <f t="shared" si="2"/>
        <v>0</v>
      </c>
      <c r="P47" s="458">
        <f>'Rider Rates'!$D$113</f>
        <v>44894</v>
      </c>
      <c r="Q47" s="490"/>
      <c r="R47" s="505"/>
      <c r="S47" s="522"/>
      <c r="T47" s="510"/>
      <c r="U47" s="433"/>
      <c r="V47" s="52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row>
    <row r="48" spans="1:221" x14ac:dyDescent="0.2">
      <c r="A48" s="432" t="s">
        <v>225</v>
      </c>
      <c r="B48" s="433"/>
      <c r="C48" s="433"/>
      <c r="D48" s="428"/>
      <c r="E48" s="484" t="s">
        <v>114</v>
      </c>
      <c r="F48" s="490"/>
      <c r="G48" s="489"/>
      <c r="H48" s="452"/>
      <c r="I48" s="491">
        <f>'Rider Rates'!B126</f>
        <v>5.83</v>
      </c>
      <c r="J48" s="486">
        <f t="shared" si="0"/>
        <v>5.83</v>
      </c>
      <c r="K48" s="464"/>
      <c r="L48" s="250"/>
      <c r="M48" s="250"/>
      <c r="N48" s="492">
        <f>I48</f>
        <v>5.83</v>
      </c>
      <c r="O48" s="250">
        <f t="shared" si="2"/>
        <v>5.83</v>
      </c>
      <c r="P48" s="458">
        <f>'Rider Rates'!D126</f>
        <v>45226</v>
      </c>
      <c r="Q48" s="490"/>
      <c r="R48" s="505"/>
      <c r="S48" s="522"/>
      <c r="T48" s="510"/>
      <c r="U48" s="433"/>
      <c r="V48" s="52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row>
    <row r="49" spans="1:236" x14ac:dyDescent="0.2">
      <c r="A49" s="477" t="s">
        <v>157</v>
      </c>
      <c r="B49" s="433"/>
      <c r="C49" s="433"/>
      <c r="D49" s="460">
        <f>C16+C17</f>
        <v>0</v>
      </c>
      <c r="E49" s="461" t="s">
        <v>41</v>
      </c>
      <c r="F49" s="462" t="s">
        <v>8</v>
      </c>
      <c r="G49" s="479"/>
      <c r="H49" s="479"/>
      <c r="I49" s="488"/>
      <c r="J49" s="482">
        <f>SUM(G49:H49)</f>
        <v>0</v>
      </c>
      <c r="K49" s="464" t="s">
        <v>42</v>
      </c>
      <c r="L49" s="250">
        <f>ROUND(D49*G49,2)</f>
        <v>0</v>
      </c>
      <c r="M49" s="250"/>
      <c r="N49" s="250"/>
      <c r="O49" s="250">
        <f t="shared" si="2"/>
        <v>0</v>
      </c>
      <c r="P49" s="458">
        <f>'Rider Rates'!$D$116</f>
        <v>44531</v>
      </c>
      <c r="Q49" s="490"/>
      <c r="R49" s="505"/>
      <c r="S49" s="522"/>
      <c r="T49" s="510"/>
      <c r="U49" s="433"/>
      <c r="V49" s="52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row>
    <row r="50" spans="1:236" x14ac:dyDescent="0.2">
      <c r="A50" s="432" t="s">
        <v>216</v>
      </c>
      <c r="B50" s="433"/>
      <c r="C50" s="433"/>
      <c r="D50" s="460">
        <f>IF($C$15&lt;1,0,$C$15)</f>
        <v>0</v>
      </c>
      <c r="E50" s="461" t="s">
        <v>41</v>
      </c>
      <c r="F50" s="454" t="s">
        <v>8</v>
      </c>
      <c r="G50" s="493"/>
      <c r="H50" s="493"/>
      <c r="I50" s="494">
        <f>'Rider Rates'!B122</f>
        <v>-6.2E-4</v>
      </c>
      <c r="J50" s="494">
        <f>SUM(G50:I50)</f>
        <v>-6.2E-4</v>
      </c>
      <c r="K50" s="464" t="s">
        <v>42</v>
      </c>
      <c r="L50" s="250"/>
      <c r="M50" s="250"/>
      <c r="N50" s="250">
        <f>D50*J50</f>
        <v>0</v>
      </c>
      <c r="O50" s="250">
        <f>SUM(L50:N50)</f>
        <v>0</v>
      </c>
      <c r="P50" s="458">
        <f>'Rider Rates'!D122</f>
        <v>44531</v>
      </c>
      <c r="Q50" s="490"/>
      <c r="R50" s="505"/>
      <c r="S50" s="522"/>
      <c r="T50" s="510"/>
      <c r="U50" s="433"/>
      <c r="V50" s="52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row>
    <row r="51" spans="1:236" x14ac:dyDescent="0.2">
      <c r="A51" s="433" t="s">
        <v>241</v>
      </c>
      <c r="B51" s="433"/>
      <c r="C51" s="433"/>
      <c r="D51" s="460">
        <f>IF(C15&lt;0,0,IF(C15&gt;833000,833000,C15))</f>
        <v>0</v>
      </c>
      <c r="E51" s="461" t="s">
        <v>41</v>
      </c>
      <c r="F51" s="462" t="s">
        <v>8</v>
      </c>
      <c r="G51" s="495"/>
      <c r="H51" s="495"/>
      <c r="I51" s="495">
        <f>'Rider Rates'!$B$130</f>
        <v>2.9050000000000001E-4</v>
      </c>
      <c r="J51" s="495">
        <f>SUM(G51:I51)</f>
        <v>2.9050000000000001E-4</v>
      </c>
      <c r="K51" s="464" t="s">
        <v>42</v>
      </c>
      <c r="L51" s="496"/>
      <c r="M51" s="496"/>
      <c r="N51" s="496">
        <f>IF(D51*J51&gt;'Rider Rates'!$C$130,'Rider Rates'!$C$130,D51*J51)</f>
        <v>0</v>
      </c>
      <c r="O51" s="496">
        <f>SUM(L51:N51)</f>
        <v>0</v>
      </c>
      <c r="P51" s="497">
        <f>'Rider Rates'!$E$130</f>
        <v>45292</v>
      </c>
      <c r="Q51" s="490"/>
      <c r="R51" s="505"/>
      <c r="S51" s="522"/>
      <c r="T51" s="510"/>
      <c r="U51" s="433"/>
      <c r="V51" s="52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row>
    <row r="52" spans="1:236" x14ac:dyDescent="0.2">
      <c r="A52" s="433" t="s">
        <v>242</v>
      </c>
      <c r="B52" s="433"/>
      <c r="C52" s="433"/>
      <c r="D52" s="427">
        <f>IF(C15&gt;833000,C15-833000,0)</f>
        <v>0</v>
      </c>
      <c r="E52" s="461" t="s">
        <v>41</v>
      </c>
      <c r="F52" s="462" t="s">
        <v>8</v>
      </c>
      <c r="G52" s="495"/>
      <c r="H52" s="495"/>
      <c r="I52" s="495">
        <f>'Rider Rates'!$B$131</f>
        <v>0</v>
      </c>
      <c r="J52" s="495">
        <f>SUM(G52:I52)</f>
        <v>0</v>
      </c>
      <c r="K52" s="464" t="s">
        <v>42</v>
      </c>
      <c r="L52" s="496"/>
      <c r="M52" s="496"/>
      <c r="N52" s="496">
        <f>D52*J52</f>
        <v>0</v>
      </c>
      <c r="O52" s="496">
        <f>SUM(L52:N52)</f>
        <v>0</v>
      </c>
      <c r="P52" s="497">
        <f>'Rider Rates'!$E$131</f>
        <v>44927</v>
      </c>
      <c r="Q52" s="490"/>
      <c r="R52" s="505"/>
      <c r="S52" s="522"/>
      <c r="T52" s="510"/>
      <c r="U52" s="433"/>
      <c r="V52" s="52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row>
    <row r="53" spans="1:236" x14ac:dyDescent="0.2">
      <c r="A53" s="483" t="s">
        <v>250</v>
      </c>
      <c r="B53" s="433"/>
      <c r="C53" s="433"/>
      <c r="D53" s="460">
        <f>C15</f>
        <v>0</v>
      </c>
      <c r="E53" s="461" t="s">
        <v>41</v>
      </c>
      <c r="F53" s="454" t="s">
        <v>8</v>
      </c>
      <c r="G53" s="479"/>
      <c r="H53" s="479"/>
      <c r="I53" s="479">
        <f>'Rider Rates'!$B$135</f>
        <v>0</v>
      </c>
      <c r="J53" s="482">
        <f>SUM(G53:I53)</f>
        <v>0</v>
      </c>
      <c r="K53" s="464" t="s">
        <v>42</v>
      </c>
      <c r="L53" s="250"/>
      <c r="M53" s="250"/>
      <c r="N53" s="250">
        <f>D53*J53</f>
        <v>0</v>
      </c>
      <c r="O53" s="250">
        <f>SUM(L53:N53)</f>
        <v>0</v>
      </c>
      <c r="P53" s="458">
        <f>'Rider Rates'!$D$135</f>
        <v>44531</v>
      </c>
      <c r="Q53" s="490"/>
      <c r="R53" s="505"/>
      <c r="S53" s="522"/>
      <c r="T53" s="510"/>
      <c r="U53" s="433"/>
      <c r="V53" s="52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row>
    <row r="54" spans="1:236" x14ac:dyDescent="0.2">
      <c r="A54" s="483" t="s">
        <v>249</v>
      </c>
      <c r="B54" s="433"/>
      <c r="C54" s="433"/>
      <c r="D54" s="460"/>
      <c r="E54" s="461" t="s">
        <v>114</v>
      </c>
      <c r="F54" s="462" t="s">
        <v>8</v>
      </c>
      <c r="G54" s="463"/>
      <c r="H54" s="463"/>
      <c r="I54" s="463">
        <f>'Rider Rates'!$B$142</f>
        <v>0</v>
      </c>
      <c r="J54" s="463">
        <f>SUM(G54:I54)</f>
        <v>0</v>
      </c>
      <c r="K54" s="464"/>
      <c r="L54" s="457"/>
      <c r="M54" s="457"/>
      <c r="N54" s="457">
        <f>J54</f>
        <v>0</v>
      </c>
      <c r="O54" s="457">
        <f>SUM(L54:N54)</f>
        <v>0</v>
      </c>
      <c r="P54" s="497">
        <f>'Rider Rates'!$D$142</f>
        <v>44531</v>
      </c>
      <c r="Q54" s="490"/>
      <c r="R54" s="505"/>
      <c r="S54" s="522"/>
      <c r="T54" s="510"/>
      <c r="U54" s="433"/>
      <c r="V54" s="52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row>
    <row r="55" spans="1:236" x14ac:dyDescent="0.2">
      <c r="A55" s="483" t="s">
        <v>251</v>
      </c>
      <c r="B55" s="433"/>
      <c r="C55" s="433"/>
      <c r="D55" s="460"/>
      <c r="E55" s="461"/>
      <c r="F55" s="462"/>
      <c r="G55" s="463"/>
      <c r="H55" s="463"/>
      <c r="I55" s="463"/>
      <c r="J55" s="463"/>
      <c r="K55" s="464"/>
      <c r="L55" s="457"/>
      <c r="M55" s="457"/>
      <c r="N55" s="457"/>
      <c r="O55" s="457"/>
      <c r="P55" s="497"/>
      <c r="Q55" s="490"/>
      <c r="R55" s="505"/>
      <c r="S55" s="522"/>
      <c r="T55" s="510"/>
      <c r="U55" s="433"/>
      <c r="V55" s="52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row>
    <row r="56" spans="1:236" x14ac:dyDescent="0.2">
      <c r="A56" s="498" t="s">
        <v>70</v>
      </c>
      <c r="B56" s="472"/>
      <c r="C56" s="472"/>
      <c r="D56" s="499"/>
      <c r="E56" s="500"/>
      <c r="F56" s="501"/>
      <c r="G56" s="501"/>
      <c r="H56" s="501"/>
      <c r="I56" s="501"/>
      <c r="J56" s="501"/>
      <c r="K56" s="502"/>
      <c r="L56" s="503">
        <f>SUM(L27:L55)</f>
        <v>0</v>
      </c>
      <c r="M56" s="503">
        <f>SUM(M27:M55)</f>
        <v>0</v>
      </c>
      <c r="N56" s="503">
        <f>SUM(N27:N55)</f>
        <v>60.39</v>
      </c>
      <c r="O56" s="503">
        <f>SUM(O27:O55)</f>
        <v>60.39</v>
      </c>
      <c r="P56" s="504"/>
      <c r="Q56" s="490"/>
      <c r="R56" s="505"/>
      <c r="S56" s="522"/>
      <c r="T56" s="510"/>
      <c r="U56" s="433"/>
      <c r="V56" s="52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row>
    <row r="57" spans="1:236" x14ac:dyDescent="0.2">
      <c r="A57" s="433"/>
      <c r="B57" s="433"/>
      <c r="C57" s="433"/>
      <c r="D57" s="460"/>
      <c r="E57" s="484"/>
      <c r="F57" s="490"/>
      <c r="G57" s="490"/>
      <c r="H57" s="490"/>
      <c r="I57" s="490"/>
      <c r="J57" s="505"/>
      <c r="K57" s="464"/>
      <c r="L57" s="490"/>
      <c r="M57" s="490"/>
      <c r="N57" s="490"/>
      <c r="O57" s="490"/>
      <c r="P57" s="506"/>
      <c r="Q57" s="490"/>
      <c r="R57" s="505"/>
      <c r="S57" s="522"/>
      <c r="T57" s="510"/>
      <c r="U57" s="433"/>
      <c r="V57" s="52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row>
    <row r="58" spans="1:236" x14ac:dyDescent="0.2">
      <c r="A58" s="507" t="s">
        <v>93</v>
      </c>
      <c r="B58" s="442"/>
      <c r="C58" s="442"/>
      <c r="D58" s="442"/>
      <c r="E58" s="442"/>
      <c r="F58" s="442"/>
      <c r="G58" s="442"/>
      <c r="H58" s="442"/>
      <c r="I58" s="442"/>
      <c r="J58" s="442"/>
      <c r="K58" s="442"/>
      <c r="L58" s="508">
        <f>L23+L56</f>
        <v>0</v>
      </c>
      <c r="M58" s="508">
        <f>M23+M56</f>
        <v>0</v>
      </c>
      <c r="N58" s="508">
        <f>N23+N56</f>
        <v>198.89</v>
      </c>
      <c r="O58" s="509">
        <f>O23+O56</f>
        <v>198.89</v>
      </c>
      <c r="P58" s="509"/>
      <c r="Q58" s="490"/>
      <c r="R58" s="524"/>
      <c r="S58" s="522"/>
      <c r="T58" s="510"/>
      <c r="U58" s="433"/>
      <c r="V58" s="522"/>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row>
    <row r="59" spans="1:236" x14ac:dyDescent="0.2">
      <c r="A59" s="433"/>
      <c r="B59" s="433"/>
      <c r="C59" s="433"/>
      <c r="D59" s="433"/>
      <c r="E59" s="433"/>
      <c r="F59" s="433"/>
      <c r="G59" s="433"/>
      <c r="H59" s="433"/>
      <c r="I59" s="433"/>
      <c r="J59" s="433"/>
      <c r="K59" s="433"/>
      <c r="L59" s="433"/>
      <c r="M59" s="433"/>
      <c r="Q59" s="473"/>
      <c r="R59" s="473"/>
      <c r="S59" s="473"/>
      <c r="T59" s="525"/>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row>
    <row r="60" spans="1:236" x14ac:dyDescent="0.2">
      <c r="A60" s="433"/>
      <c r="B60" s="433"/>
      <c r="C60" s="433"/>
      <c r="D60" s="433"/>
      <c r="E60" s="433"/>
      <c r="F60" s="433"/>
      <c r="G60" s="433"/>
      <c r="H60" s="433"/>
      <c r="I60" s="433"/>
      <c r="J60" s="433"/>
      <c r="K60" s="433"/>
      <c r="L60" s="433"/>
      <c r="M60" s="433"/>
      <c r="Q60" s="473"/>
      <c r="R60" s="473"/>
      <c r="S60" s="473"/>
      <c r="T60" s="525"/>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row>
    <row r="61" spans="1:236" x14ac:dyDescent="0.2">
      <c r="A61" s="473" t="s">
        <v>92</v>
      </c>
      <c r="B61" s="433"/>
      <c r="C61" s="433"/>
      <c r="D61" s="433"/>
      <c r="E61" s="433"/>
      <c r="F61" s="433"/>
      <c r="G61" s="433"/>
      <c r="H61" s="433"/>
      <c r="I61" s="433"/>
      <c r="J61" s="433"/>
      <c r="K61" s="433"/>
      <c r="L61" s="433"/>
      <c r="M61" s="433"/>
      <c r="N61" s="433"/>
      <c r="O61" s="510">
        <f>O21+O56</f>
        <v>198.89</v>
      </c>
      <c r="Q61" s="473"/>
      <c r="R61" s="473"/>
      <c r="S61" s="473"/>
      <c r="T61" s="525"/>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row>
    <row r="62" spans="1:236" x14ac:dyDescent="0.2">
      <c r="A62" s="473" t="s">
        <v>15</v>
      </c>
      <c r="B62" s="473"/>
      <c r="C62" s="473"/>
      <c r="D62" s="473"/>
      <c r="E62" s="473"/>
      <c r="F62" s="473"/>
      <c r="G62" s="473"/>
      <c r="H62" s="473"/>
      <c r="I62" s="433"/>
      <c r="J62" s="433"/>
      <c r="K62" s="433"/>
      <c r="L62" s="433"/>
      <c r="M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row>
    <row r="63" spans="1:236" x14ac:dyDescent="0.2">
      <c r="A63" s="472" t="s">
        <v>116</v>
      </c>
      <c r="O63" s="511">
        <f>IF($D$17&lt;0,O58,IF(O58&gt;O61,O58,O61))</f>
        <v>198.89</v>
      </c>
      <c r="P63" s="475"/>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row>
    <row r="64" spans="1:236" ht="15" customHeight="1" x14ac:dyDescent="0.2">
      <c r="A64" s="472"/>
      <c r="O64" s="511"/>
      <c r="P64" s="475"/>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row>
    <row r="65" spans="1:222" x14ac:dyDescent="0.2">
      <c r="A65" s="472"/>
      <c r="B65" s="473"/>
      <c r="C65" s="473"/>
      <c r="D65" s="473"/>
      <c r="E65" s="473"/>
      <c r="F65" s="473"/>
      <c r="G65" s="473"/>
      <c r="H65" s="473"/>
      <c r="I65" s="473" t="s">
        <v>120</v>
      </c>
      <c r="J65" s="473"/>
      <c r="K65" s="473"/>
      <c r="L65" s="512"/>
      <c r="M65" s="512"/>
      <c r="N65" s="512"/>
      <c r="O65" s="512">
        <f>ROUND(IF($C$15&lt;1,0,O58/($C$15*100)*10000),2)</f>
        <v>0</v>
      </c>
      <c r="P65" s="465" t="s">
        <v>86</v>
      </c>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HE65" s="433"/>
      <c r="HF65" s="433"/>
      <c r="HG65" s="433"/>
      <c r="HH65" s="433"/>
      <c r="HI65" s="433"/>
      <c r="HJ65" s="433"/>
      <c r="HK65" s="433"/>
      <c r="HL65" s="433"/>
      <c r="HM65" s="433"/>
      <c r="HN65" s="433"/>
    </row>
    <row r="66" spans="1:222" x14ac:dyDescent="0.2">
      <c r="B66" s="433"/>
      <c r="C66" s="433"/>
      <c r="D66" s="433"/>
      <c r="E66" s="433"/>
      <c r="F66" s="433"/>
      <c r="G66" s="433"/>
      <c r="H66" s="513"/>
      <c r="I66" s="514" t="s">
        <v>198</v>
      </c>
      <c r="J66" s="433"/>
      <c r="K66" s="433"/>
      <c r="L66" s="433"/>
      <c r="M66" s="433"/>
      <c r="N66" s="433"/>
      <c r="O66" s="515">
        <f>ROUND(IF($C$15&lt;1,0,(L58)/($C$15*100)*10000),2)</f>
        <v>0</v>
      </c>
      <c r="P66" s="436" t="s">
        <v>86</v>
      </c>
      <c r="Q66" s="433"/>
      <c r="R66" s="433"/>
      <c r="S66" s="433"/>
      <c r="T66" s="433"/>
      <c r="U66" s="433"/>
      <c r="V66" s="433"/>
      <c r="W66" s="433"/>
      <c r="X66" s="433"/>
      <c r="Y66" s="433"/>
      <c r="Z66" s="433"/>
      <c r="AA66" s="433"/>
      <c r="AB66" s="433"/>
      <c r="AC66" s="433"/>
      <c r="AD66" s="433"/>
      <c r="AE66" s="433"/>
      <c r="AF66" s="433"/>
      <c r="AG66" s="433"/>
      <c r="AH66" s="433"/>
      <c r="AI66" s="433"/>
      <c r="AJ66" s="433"/>
      <c r="AK66" s="433"/>
    </row>
  </sheetData>
  <sheetProtection algorithmName="SHA-512" hashValue="j3WJDTXvkw+jSUg7eZnFFw7J0QVbjz4pQhNDN3uWRLz4hLTd91yvwycHWRTf2eXqPM5P8U2smGYvLKLte8gs4Q==" saltValue="ACqEib/atvC1t4z9L30vx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211970"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211971"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211972"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211973"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211974"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4881-47A2-423A-8A16-41A7A8C3B246}">
  <dimension ref="A1:IB66"/>
  <sheetViews>
    <sheetView topLeftCell="A11" zoomScale="85" zoomScaleNormal="85" workbookViewId="0">
      <selection activeCell="O66" sqref="O66"/>
    </sheetView>
  </sheetViews>
  <sheetFormatPr defaultColWidth="8.5703125" defaultRowHeight="12.75" x14ac:dyDescent="0.2"/>
  <cols>
    <col min="1" max="1" width="31" style="430" customWidth="1"/>
    <col min="2" max="2" width="2.140625" style="430" customWidth="1"/>
    <col min="3" max="3" width="21.140625" style="430" customWidth="1"/>
    <col min="4" max="4" width="15.42578125" style="430" customWidth="1"/>
    <col min="5" max="5" width="10.140625" style="430" customWidth="1"/>
    <col min="6" max="6" width="5.5703125" style="430" customWidth="1"/>
    <col min="7" max="8" width="13.42578125" style="430" customWidth="1"/>
    <col min="9" max="9" width="14.5703125" style="430" customWidth="1"/>
    <col min="10" max="10" width="13.42578125" style="430" customWidth="1"/>
    <col min="11" max="11" width="7" style="430" customWidth="1"/>
    <col min="12" max="12" width="15.140625" style="430" customWidth="1"/>
    <col min="13" max="13" width="17.42578125" style="430" bestFit="1" customWidth="1"/>
    <col min="14" max="14" width="16.5703125" style="430" customWidth="1"/>
    <col min="15" max="15" width="19.140625" style="430" bestFit="1" customWidth="1"/>
    <col min="16" max="16" width="12.85546875" style="430" bestFit="1" customWidth="1"/>
    <col min="17" max="17" width="8.5703125" style="430"/>
    <col min="18" max="18" width="9.140625" style="430" hidden="1" customWidth="1"/>
    <col min="19" max="26" width="10.42578125" style="430" hidden="1" customWidth="1"/>
    <col min="27" max="27" width="10.5703125" style="430" hidden="1" customWidth="1"/>
    <col min="28" max="30" width="10.42578125" style="430" hidden="1" customWidth="1"/>
    <col min="31" max="16384" width="8.5703125" style="430"/>
  </cols>
  <sheetData>
    <row r="1" spans="1:30" ht="20.25" x14ac:dyDescent="0.3">
      <c r="A1" s="573" t="s">
        <v>119</v>
      </c>
      <c r="B1" s="573"/>
      <c r="C1" s="573"/>
      <c r="D1" s="573"/>
      <c r="E1" s="573"/>
      <c r="F1" s="573"/>
      <c r="G1" s="573"/>
      <c r="H1" s="573"/>
      <c r="I1" s="573"/>
      <c r="J1" s="573"/>
      <c r="K1" s="573"/>
      <c r="L1" s="573"/>
      <c r="M1" s="573"/>
      <c r="N1" s="573"/>
      <c r="O1" s="573"/>
      <c r="P1" s="573"/>
    </row>
    <row r="2" spans="1:30" ht="20.25" x14ac:dyDescent="0.3">
      <c r="A2" s="573" t="s">
        <v>122</v>
      </c>
      <c r="B2" s="573"/>
      <c r="C2" s="573"/>
      <c r="D2" s="573"/>
      <c r="E2" s="573"/>
      <c r="F2" s="573"/>
      <c r="G2" s="573"/>
      <c r="H2" s="573"/>
      <c r="I2" s="573"/>
      <c r="J2" s="573"/>
      <c r="K2" s="573"/>
      <c r="L2" s="573"/>
      <c r="M2" s="573"/>
      <c r="N2" s="573"/>
      <c r="O2" s="573"/>
      <c r="P2" s="573"/>
    </row>
    <row r="3" spans="1:30" ht="18" x14ac:dyDescent="0.25">
      <c r="A3" s="574" t="s">
        <v>339</v>
      </c>
      <c r="B3" s="574"/>
      <c r="C3" s="574"/>
      <c r="D3" s="574"/>
      <c r="E3" s="574"/>
      <c r="F3" s="574"/>
      <c r="G3" s="574"/>
      <c r="H3" s="574"/>
      <c r="I3" s="574"/>
      <c r="J3" s="574"/>
      <c r="K3" s="574"/>
      <c r="L3" s="574"/>
      <c r="M3" s="574"/>
      <c r="N3" s="574"/>
      <c r="O3" s="574"/>
      <c r="P3" s="574"/>
    </row>
    <row r="4" spans="1:30" ht="15.75" x14ac:dyDescent="0.25">
      <c r="A4" s="575" t="str">
        <f>'Customer Info'!B12</f>
        <v>Breakdown of Charges Based on Entered Information</v>
      </c>
      <c r="B4" s="575"/>
      <c r="C4" s="575"/>
      <c r="D4" s="575"/>
      <c r="E4" s="575"/>
      <c r="F4" s="575"/>
      <c r="G4" s="575"/>
      <c r="H4" s="575"/>
      <c r="I4" s="575"/>
      <c r="J4" s="575"/>
      <c r="K4" s="575"/>
      <c r="L4" s="575"/>
      <c r="M4" s="575"/>
      <c r="N4" s="575"/>
      <c r="O4" s="575"/>
      <c r="P4" s="575"/>
    </row>
    <row r="5" spans="1:30" ht="15" x14ac:dyDescent="0.2">
      <c r="A5" s="429"/>
      <c r="B5" s="429"/>
      <c r="C5" s="429"/>
      <c r="D5" s="429"/>
      <c r="E5" s="429"/>
      <c r="F5" s="429"/>
      <c r="G5" s="429"/>
      <c r="H5" s="429" t="s">
        <v>338</v>
      </c>
      <c r="I5" s="429"/>
      <c r="J5" s="429"/>
      <c r="K5" s="429"/>
    </row>
    <row r="6" spans="1:30" x14ac:dyDescent="0.2">
      <c r="A6" s="431">
        <f ca="1">TODAY()</f>
        <v>45532</v>
      </c>
      <c r="B6" s="432"/>
      <c r="C6" s="431"/>
      <c r="D6" s="431"/>
      <c r="E6" s="431"/>
      <c r="F6" s="431"/>
      <c r="G6" s="431"/>
      <c r="H6" s="431"/>
      <c r="I6" s="431"/>
    </row>
    <row r="7" spans="1:30" ht="26.25" x14ac:dyDescent="0.4">
      <c r="A7" s="576"/>
      <c r="B7" s="576"/>
      <c r="C7" s="576"/>
      <c r="D7" s="576"/>
      <c r="E7" s="576"/>
      <c r="F7" s="576"/>
      <c r="G7" s="576"/>
      <c r="H7" s="576"/>
      <c r="I7" s="576"/>
      <c r="J7" s="576"/>
      <c r="K7" s="576"/>
      <c r="L7" s="576"/>
      <c r="M7" s="576"/>
      <c r="N7" s="576"/>
      <c r="O7" s="576"/>
      <c r="P7" s="576"/>
    </row>
    <row r="8" spans="1:30" x14ac:dyDescent="0.2">
      <c r="C8" s="433"/>
      <c r="D8" s="433"/>
      <c r="E8" s="433"/>
      <c r="F8" s="433"/>
      <c r="G8" s="433"/>
      <c r="H8" s="433"/>
      <c r="I8" s="433"/>
      <c r="J8" s="433"/>
      <c r="K8" s="433"/>
    </row>
    <row r="9" spans="1:30" ht="15" x14ac:dyDescent="0.2">
      <c r="A9" s="434" t="s">
        <v>2</v>
      </c>
      <c r="B9" s="435"/>
      <c r="C9" s="436">
        <f>'Customer Info'!B7</f>
        <v>0</v>
      </c>
      <c r="I9" s="437"/>
    </row>
    <row r="10" spans="1:30" ht="15" x14ac:dyDescent="0.2">
      <c r="A10" s="438" t="s">
        <v>26</v>
      </c>
      <c r="B10" s="435"/>
      <c r="C10" s="436">
        <f>'Customer Info'!B8</f>
        <v>0</v>
      </c>
    </row>
    <row r="11" spans="1:30" x14ac:dyDescent="0.2">
      <c r="A11" s="434" t="s">
        <v>3</v>
      </c>
      <c r="B11" s="439">
        <f>'Customer Info'!B9</f>
        <v>9</v>
      </c>
      <c r="C11" s="440" t="str">
        <f>LOOKUP(B11,R11:AD11,R12:AD12)</f>
        <v>September</v>
      </c>
      <c r="D11" s="441">
        <f>'Customer Info'!C9</f>
        <v>2024</v>
      </c>
      <c r="S11" s="430">
        <v>1</v>
      </c>
      <c r="T11" s="430">
        <v>2</v>
      </c>
      <c r="U11" s="430">
        <v>3</v>
      </c>
      <c r="V11" s="430">
        <v>4</v>
      </c>
      <c r="W11" s="430">
        <v>5</v>
      </c>
      <c r="X11" s="430">
        <v>6</v>
      </c>
      <c r="Y11" s="430">
        <v>7</v>
      </c>
      <c r="Z11" s="430">
        <v>8</v>
      </c>
      <c r="AA11" s="430">
        <v>9</v>
      </c>
      <c r="AB11" s="430">
        <v>10</v>
      </c>
      <c r="AC11" s="430">
        <v>11</v>
      </c>
      <c r="AD11" s="430">
        <v>12</v>
      </c>
    </row>
    <row r="12" spans="1:30" x14ac:dyDescent="0.2">
      <c r="A12" s="577"/>
      <c r="B12" s="577"/>
      <c r="C12" s="577"/>
      <c r="D12" s="577"/>
      <c r="E12" s="577"/>
      <c r="F12" s="577"/>
      <c r="G12" s="577"/>
      <c r="H12" s="577"/>
      <c r="I12" s="577"/>
      <c r="J12" s="442"/>
      <c r="K12" s="442"/>
      <c r="L12" s="443"/>
      <c r="M12" s="443"/>
      <c r="N12" s="443"/>
      <c r="O12" s="443"/>
      <c r="P12" s="443"/>
      <c r="R12" s="430" t="s">
        <v>114</v>
      </c>
      <c r="S12" s="519" t="s">
        <v>101</v>
      </c>
      <c r="T12" s="519" t="s">
        <v>102</v>
      </c>
      <c r="U12" s="519" t="s">
        <v>103</v>
      </c>
      <c r="V12" s="519" t="s">
        <v>104</v>
      </c>
      <c r="W12" s="519" t="s">
        <v>105</v>
      </c>
      <c r="X12" s="519" t="s">
        <v>106</v>
      </c>
      <c r="Y12" s="519" t="s">
        <v>107</v>
      </c>
      <c r="Z12" s="519" t="s">
        <v>108</v>
      </c>
      <c r="AA12" s="519" t="s">
        <v>109</v>
      </c>
      <c r="AB12" s="519" t="s">
        <v>111</v>
      </c>
      <c r="AC12" s="519" t="s">
        <v>110</v>
      </c>
      <c r="AD12" s="519" t="s">
        <v>112</v>
      </c>
    </row>
    <row r="13" spans="1:30" x14ac:dyDescent="0.2">
      <c r="A13" s="444" t="s">
        <v>27</v>
      </c>
      <c r="B13" s="445"/>
      <c r="C13" s="445"/>
      <c r="D13" s="445"/>
      <c r="E13" s="445"/>
      <c r="F13" s="445"/>
      <c r="G13" s="445"/>
      <c r="H13" s="445"/>
      <c r="I13" s="445"/>
      <c r="R13" s="459" t="s">
        <v>195</v>
      </c>
      <c r="S13" s="430">
        <f>'Rider Rates'!$C$22</f>
        <v>7.0209999999999995E-2</v>
      </c>
      <c r="T13" s="430">
        <f>'Rider Rates'!$C$22</f>
        <v>7.0209999999999995E-2</v>
      </c>
      <c r="U13" s="430">
        <f>'Rider Rates'!$C$22</f>
        <v>7.0209999999999995E-2</v>
      </c>
      <c r="V13" s="430">
        <f>'Rider Rates'!$C$22</f>
        <v>7.0209999999999995E-2</v>
      </c>
      <c r="W13" s="430">
        <f>'Rider Rates'!$C$22</f>
        <v>7.0209999999999995E-2</v>
      </c>
      <c r="X13" s="430">
        <f>'Rider Rates'!$B$22</f>
        <v>7.0209999999999995E-2</v>
      </c>
      <c r="Y13" s="430">
        <f>'Rider Rates'!$B$22</f>
        <v>7.0209999999999995E-2</v>
      </c>
      <c r="Z13" s="430">
        <f>'Rider Rates'!$B$22</f>
        <v>7.0209999999999995E-2</v>
      </c>
      <c r="AA13" s="430">
        <f>'Rider Rates'!$B$22</f>
        <v>7.0209999999999995E-2</v>
      </c>
      <c r="AB13" s="430">
        <f>'Rider Rates'!$C$22</f>
        <v>7.0209999999999995E-2</v>
      </c>
      <c r="AC13" s="430">
        <f>'Rider Rates'!$C$22</f>
        <v>7.0209999999999995E-2</v>
      </c>
      <c r="AD13" s="430">
        <f>'Rider Rates'!$C$22</f>
        <v>7.0209999999999995E-2</v>
      </c>
    </row>
    <row r="14" spans="1:30" x14ac:dyDescent="0.2">
      <c r="A14" s="433"/>
      <c r="B14" s="433"/>
      <c r="C14" s="433"/>
      <c r="D14" s="433"/>
      <c r="E14" s="433"/>
      <c r="F14" s="433"/>
      <c r="G14" s="433"/>
      <c r="H14" s="433"/>
      <c r="I14" s="433"/>
      <c r="R14" s="433"/>
      <c r="S14" s="520"/>
      <c r="T14" s="520"/>
      <c r="U14" s="520"/>
      <c r="V14" s="520"/>
      <c r="W14" s="520"/>
      <c r="X14" s="520"/>
      <c r="Y14" s="520"/>
      <c r="Z14" s="520"/>
      <c r="AA14" s="520"/>
      <c r="AB14" s="520"/>
      <c r="AC14" s="520"/>
      <c r="AD14" s="520"/>
    </row>
    <row r="15" spans="1:30" x14ac:dyDescent="0.2">
      <c r="A15" s="446" t="s">
        <v>51</v>
      </c>
      <c r="B15" s="446"/>
      <c r="C15" s="447">
        <f>IF('Customer Info'!B22+'Customer Info'!B23-'Customer Info'!B24&lt;0,0,'Customer Info'!B22+'Customer Info'!B23-'Customer Info'!B24)</f>
        <v>0</v>
      </c>
      <c r="D15" s="446" t="s">
        <v>41</v>
      </c>
      <c r="E15" s="446"/>
      <c r="F15" s="448"/>
      <c r="G15" s="446"/>
      <c r="H15" s="446"/>
      <c r="I15" s="446"/>
      <c r="R15" s="433"/>
      <c r="S15" s="520"/>
      <c r="T15" s="520"/>
      <c r="U15" s="520"/>
      <c r="V15" s="520"/>
      <c r="W15" s="520"/>
      <c r="X15" s="520"/>
      <c r="Y15" s="520"/>
      <c r="Z15" s="520"/>
      <c r="AA15" s="520"/>
      <c r="AB15" s="520"/>
      <c r="AC15" s="520"/>
      <c r="AD15" s="520"/>
    </row>
    <row r="16" spans="1:30" x14ac:dyDescent="0.2">
      <c r="A16" s="446" t="s">
        <v>233</v>
      </c>
      <c r="B16" s="446"/>
      <c r="C16" s="447">
        <f>'Customer Info'!B22</f>
        <v>0</v>
      </c>
      <c r="D16" s="446" t="s">
        <v>41</v>
      </c>
      <c r="E16" s="446"/>
      <c r="F16" s="448"/>
      <c r="G16" s="434" t="s">
        <v>15</v>
      </c>
      <c r="H16" s="446"/>
    </row>
    <row r="17" spans="1:221" x14ac:dyDescent="0.2">
      <c r="A17" s="446" t="s">
        <v>234</v>
      </c>
      <c r="B17" s="446"/>
      <c r="C17" s="447">
        <f>'Customer Info'!B23</f>
        <v>0</v>
      </c>
      <c r="D17" s="449" t="s">
        <v>41</v>
      </c>
      <c r="E17" s="448"/>
      <c r="F17" s="448"/>
      <c r="G17" s="434" t="s">
        <v>15</v>
      </c>
      <c r="H17" s="446"/>
      <c r="I17" s="450" t="s">
        <v>15</v>
      </c>
    </row>
    <row r="19" spans="1:221" x14ac:dyDescent="0.2">
      <c r="A19" s="444" t="s">
        <v>31</v>
      </c>
      <c r="B19" s="445"/>
      <c r="C19" s="445"/>
      <c r="D19" s="445"/>
      <c r="E19" s="445"/>
      <c r="F19" s="445"/>
      <c r="G19" s="569" t="s">
        <v>67</v>
      </c>
      <c r="H19" s="570"/>
      <c r="I19" s="570"/>
      <c r="J19" s="571"/>
      <c r="K19" s="445"/>
      <c r="L19" s="572" t="s">
        <v>68</v>
      </c>
      <c r="M19" s="572"/>
      <c r="N19" s="572"/>
      <c r="O19" s="572"/>
    </row>
    <row r="20" spans="1:221" x14ac:dyDescent="0.2">
      <c r="A20" s="433"/>
      <c r="B20" s="433"/>
      <c r="C20" s="433"/>
      <c r="D20" s="433"/>
      <c r="E20" s="433"/>
      <c r="F20" s="433"/>
      <c r="G20" s="451" t="s">
        <v>64</v>
      </c>
      <c r="H20" s="451" t="s">
        <v>65</v>
      </c>
      <c r="I20" s="451" t="s">
        <v>66</v>
      </c>
      <c r="J20" s="452" t="s">
        <v>34</v>
      </c>
      <c r="K20" s="433"/>
      <c r="L20" s="453" t="s">
        <v>64</v>
      </c>
      <c r="M20" s="453" t="s">
        <v>65</v>
      </c>
      <c r="N20" s="453" t="s">
        <v>66</v>
      </c>
      <c r="O20" s="453" t="s">
        <v>34</v>
      </c>
      <c r="P20" s="454" t="s">
        <v>56</v>
      </c>
    </row>
    <row r="21" spans="1:221" x14ac:dyDescent="0.2">
      <c r="A21" s="430" t="s">
        <v>32</v>
      </c>
      <c r="G21" s="455"/>
      <c r="H21" s="455"/>
      <c r="I21" s="455">
        <f>'Rider Rates'!B150</f>
        <v>825</v>
      </c>
      <c r="J21" s="455">
        <f>SUM(G21:I21)</f>
        <v>825</v>
      </c>
      <c r="L21" s="456"/>
      <c r="M21" s="456"/>
      <c r="N21" s="456">
        <f>I21</f>
        <v>825</v>
      </c>
      <c r="O21" s="457">
        <f>SUM(L21:N21)</f>
        <v>825</v>
      </c>
      <c r="P21" s="458">
        <v>44531</v>
      </c>
    </row>
    <row r="22" spans="1:221" x14ac:dyDescent="0.2">
      <c r="A22" s="459" t="s">
        <v>302</v>
      </c>
      <c r="D22" s="460">
        <f>C15</f>
        <v>0</v>
      </c>
      <c r="E22" s="461" t="s">
        <v>41</v>
      </c>
      <c r="F22" s="462" t="s">
        <v>8</v>
      </c>
      <c r="G22" s="463"/>
      <c r="H22" s="463"/>
      <c r="I22" s="463">
        <f>'Rider Rates'!C150</f>
        <v>5.9799999999999997E-5</v>
      </c>
      <c r="J22" s="463">
        <f>SUM(G22:I22)</f>
        <v>5.9799999999999997E-5</v>
      </c>
      <c r="K22" s="464" t="s">
        <v>42</v>
      </c>
      <c r="L22" s="457"/>
      <c r="M22" s="457"/>
      <c r="N22" s="457">
        <f>IF(C15&lt;0,0,ROUND($D22*I22,2))</f>
        <v>0</v>
      </c>
      <c r="O22" s="457">
        <f>SUM(L22:N22)</f>
        <v>0</v>
      </c>
      <c r="P22" s="458">
        <f>'Rider Rates'!H150</f>
        <v>45444</v>
      </c>
    </row>
    <row r="23" spans="1:221" x14ac:dyDescent="0.2">
      <c r="A23" s="465" t="s">
        <v>50</v>
      </c>
      <c r="B23" s="465"/>
      <c r="C23" s="465"/>
      <c r="D23" s="466"/>
      <c r="E23" s="466"/>
      <c r="F23" s="465"/>
      <c r="G23" s="465"/>
      <c r="H23" s="465"/>
      <c r="I23" s="465"/>
      <c r="J23" s="465"/>
      <c r="K23" s="467"/>
      <c r="L23" s="468"/>
      <c r="M23" s="468"/>
      <c r="N23" s="468">
        <f>SUM(N21:N22)</f>
        <v>825</v>
      </c>
      <c r="O23" s="468">
        <f>SUM(O21:O22)</f>
        <v>825</v>
      </c>
    </row>
    <row r="24" spans="1:221" x14ac:dyDescent="0.2">
      <c r="A24" s="469"/>
      <c r="B24" s="469"/>
      <c r="C24" s="470"/>
      <c r="D24" s="470"/>
      <c r="E24" s="470"/>
      <c r="F24" s="470"/>
      <c r="G24" s="471"/>
      <c r="H24" s="471"/>
      <c r="I24" s="471"/>
      <c r="J24" s="471"/>
      <c r="K24" s="469"/>
      <c r="L24" s="469"/>
      <c r="M24" s="469"/>
      <c r="N24" s="469"/>
      <c r="O24" s="469"/>
      <c r="P24" s="469"/>
    </row>
    <row r="25" spans="1:221" x14ac:dyDescent="0.2">
      <c r="A25" s="472" t="s">
        <v>69</v>
      </c>
      <c r="B25" s="473"/>
      <c r="C25" s="473"/>
      <c r="D25" s="474"/>
      <c r="E25" s="474"/>
      <c r="F25" s="473"/>
      <c r="G25" s="474"/>
      <c r="H25" s="474"/>
      <c r="I25" s="474"/>
      <c r="J25" s="474"/>
      <c r="K25" s="474"/>
      <c r="L25" s="474"/>
      <c r="M25" s="474"/>
      <c r="N25" s="474"/>
      <c r="O25" s="474"/>
      <c r="P25" s="475"/>
      <c r="Q25" s="433"/>
      <c r="R25" s="433"/>
      <c r="S25" s="433"/>
      <c r="T25" s="433"/>
      <c r="U25" s="433"/>
      <c r="V25" s="433"/>
      <c r="W25" s="433"/>
      <c r="X25" s="433"/>
      <c r="Y25" s="433"/>
      <c r="Z25" s="433"/>
      <c r="AA25" s="433"/>
      <c r="AB25" s="433"/>
      <c r="AC25" s="433"/>
      <c r="AD25" s="433"/>
      <c r="AE25" s="433"/>
      <c r="AF25" s="433"/>
      <c r="AG25" s="433"/>
      <c r="AH25" s="433"/>
      <c r="AI25" s="433"/>
      <c r="AJ25" s="433"/>
      <c r="AK25" s="433"/>
      <c r="AL25" s="433"/>
      <c r="AM25" s="433"/>
      <c r="AN25" s="433"/>
      <c r="AO25" s="433"/>
      <c r="AP25" s="433"/>
      <c r="AQ25" s="433"/>
      <c r="AR25" s="433"/>
      <c r="AS25" s="433"/>
      <c r="AT25" s="433"/>
      <c r="AU25" s="433"/>
      <c r="AV25" s="433"/>
      <c r="AW25" s="433"/>
      <c r="AX25" s="433"/>
      <c r="AY25" s="433"/>
      <c r="AZ25" s="433"/>
      <c r="BA25" s="433"/>
      <c r="BB25" s="433"/>
      <c r="BC25" s="433"/>
      <c r="BD25" s="433"/>
      <c r="BE25" s="433"/>
      <c r="BF25" s="433"/>
      <c r="BG25" s="433"/>
      <c r="BH25" s="433"/>
      <c r="BI25" s="433"/>
      <c r="BJ25" s="433"/>
      <c r="BK25" s="433"/>
      <c r="BL25" s="433"/>
      <c r="BM25" s="433"/>
      <c r="BN25" s="433"/>
      <c r="BO25" s="433"/>
      <c r="BP25" s="433"/>
      <c r="BQ25" s="433"/>
      <c r="BR25" s="433"/>
      <c r="BS25" s="433"/>
      <c r="BT25" s="433"/>
      <c r="BU25" s="433"/>
      <c r="BV25" s="433"/>
      <c r="BW25" s="433"/>
      <c r="BX25" s="433"/>
      <c r="BY25" s="433"/>
      <c r="BZ25" s="433"/>
      <c r="CA25" s="433"/>
      <c r="CB25" s="433"/>
      <c r="CC25" s="433"/>
      <c r="CD25" s="433"/>
      <c r="CE25" s="433"/>
      <c r="CF25" s="433"/>
      <c r="CG25" s="433"/>
      <c r="CH25" s="433"/>
      <c r="CI25" s="433"/>
      <c r="CJ25" s="433"/>
      <c r="CK25" s="433"/>
      <c r="CL25" s="433"/>
      <c r="CM25" s="433"/>
      <c r="CN25" s="433"/>
      <c r="CO25" s="433"/>
      <c r="CP25" s="433"/>
      <c r="CQ25" s="433"/>
      <c r="CR25" s="433"/>
      <c r="CS25" s="433"/>
      <c r="CT25" s="433"/>
      <c r="CU25" s="433"/>
      <c r="CV25" s="433"/>
      <c r="CW25" s="433"/>
      <c r="CX25" s="433"/>
      <c r="CY25" s="433"/>
      <c r="CZ25" s="433"/>
      <c r="DA25" s="433"/>
      <c r="DB25" s="433"/>
      <c r="DC25" s="433"/>
      <c r="DD25" s="433"/>
      <c r="DE25" s="433"/>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row>
    <row r="26" spans="1:221" x14ac:dyDescent="0.2">
      <c r="P26" s="476"/>
      <c r="Q26" s="490"/>
      <c r="R26" s="521"/>
      <c r="S26" s="522"/>
      <c r="T26" s="510"/>
      <c r="U26" s="433"/>
      <c r="V26" s="52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row>
    <row r="27" spans="1:221" x14ac:dyDescent="0.2">
      <c r="A27" s="477" t="s">
        <v>78</v>
      </c>
      <c r="B27" s="478"/>
      <c r="C27" s="478"/>
      <c r="D27" s="460">
        <f>IF($C$15&lt;0,0,IF($C$15&gt;833000,833000,$C$15))</f>
        <v>0</v>
      </c>
      <c r="E27" s="461" t="s">
        <v>41</v>
      </c>
      <c r="F27" s="462" t="s">
        <v>8</v>
      </c>
      <c r="G27" s="479"/>
      <c r="H27" s="479"/>
      <c r="I27" s="479">
        <f>'Rider Rates'!$B$4</f>
        <v>5.9216E-3</v>
      </c>
      <c r="J27" s="479">
        <f t="shared" ref="J27:J48" si="0">SUM(G27:I27)</f>
        <v>5.9216E-3</v>
      </c>
      <c r="K27" s="464" t="s">
        <v>42</v>
      </c>
      <c r="L27" s="250"/>
      <c r="M27" s="250"/>
      <c r="N27" s="250">
        <f t="shared" ref="N27:N32" si="1">ROUND(D27*I27,2)</f>
        <v>0</v>
      </c>
      <c r="O27" s="250">
        <f t="shared" ref="O27:O49" si="2">SUM(L27:N27)</f>
        <v>0</v>
      </c>
      <c r="P27" s="458">
        <f>'Rider Rates'!$D$4</f>
        <v>45293</v>
      </c>
      <c r="Q27" s="490"/>
      <c r="R27" s="505"/>
      <c r="S27" s="522"/>
      <c r="T27" s="510"/>
      <c r="U27" s="433"/>
      <c r="V27" s="52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row>
    <row r="28" spans="1:221" x14ac:dyDescent="0.2">
      <c r="A28" s="477" t="s">
        <v>79</v>
      </c>
      <c r="B28" s="433"/>
      <c r="C28" s="433"/>
      <c r="D28" s="427">
        <f>IF($C$15&gt;833000,$C$15-833000,0)</f>
        <v>0</v>
      </c>
      <c r="E28" s="461" t="s">
        <v>41</v>
      </c>
      <c r="F28" s="462" t="s">
        <v>8</v>
      </c>
      <c r="G28" s="479"/>
      <c r="H28" s="479"/>
      <c r="I28" s="479">
        <f>'Rider Rates'!$B$5</f>
        <v>1.7560000000000001E-4</v>
      </c>
      <c r="J28" s="479">
        <f t="shared" si="0"/>
        <v>1.7560000000000001E-4</v>
      </c>
      <c r="K28" s="464" t="s">
        <v>42</v>
      </c>
      <c r="L28" s="250"/>
      <c r="M28" s="250"/>
      <c r="N28" s="250">
        <f t="shared" si="1"/>
        <v>0</v>
      </c>
      <c r="O28" s="250">
        <f t="shared" si="2"/>
        <v>0</v>
      </c>
      <c r="P28" s="458">
        <f>'Rider Rates'!$D$4</f>
        <v>45293</v>
      </c>
      <c r="Q28" s="490"/>
      <c r="R28" s="505"/>
      <c r="S28" s="522"/>
      <c r="T28" s="510"/>
      <c r="U28" s="433"/>
      <c r="V28" s="52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row>
    <row r="29" spans="1:221" x14ac:dyDescent="0.2">
      <c r="A29" s="477" t="s">
        <v>96</v>
      </c>
      <c r="B29" s="433"/>
      <c r="C29" s="433"/>
      <c r="D29" s="460">
        <f>IF('Customer Info'!$C$33=TRUE,0,IF($C$15&lt;0,0,IF($C$15&gt;2000,2000,$C$15)))</f>
        <v>0</v>
      </c>
      <c r="E29" s="461" t="s">
        <v>41</v>
      </c>
      <c r="F29" s="462" t="s">
        <v>8</v>
      </c>
      <c r="G29" s="479"/>
      <c r="H29" s="479"/>
      <c r="I29" s="480">
        <f>'Rider Rates'!$B$8</f>
        <v>4.6499999999999996E-3</v>
      </c>
      <c r="J29" s="480">
        <f t="shared" si="0"/>
        <v>4.6499999999999996E-3</v>
      </c>
      <c r="K29" s="464" t="s">
        <v>42</v>
      </c>
      <c r="L29" s="250"/>
      <c r="M29" s="250"/>
      <c r="N29" s="250">
        <f t="shared" si="1"/>
        <v>0</v>
      </c>
      <c r="O29" s="250">
        <f t="shared" si="2"/>
        <v>0</v>
      </c>
      <c r="P29" s="458">
        <f>'Rider Rates'!$D$7</f>
        <v>44531</v>
      </c>
      <c r="Q29" s="490"/>
      <c r="R29" s="505"/>
      <c r="S29" s="522"/>
      <c r="T29" s="510"/>
      <c r="U29" s="433"/>
      <c r="V29" s="523"/>
      <c r="W29" s="433"/>
      <c r="X29" s="433"/>
      <c r="Y29" s="433"/>
      <c r="Z29" s="433"/>
      <c r="AA29" s="433"/>
      <c r="AB29" s="433"/>
      <c r="AC29" s="433"/>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row>
    <row r="30" spans="1:221" x14ac:dyDescent="0.2">
      <c r="A30" s="477" t="s">
        <v>97</v>
      </c>
      <c r="B30" s="433"/>
      <c r="C30" s="433"/>
      <c r="D30" s="460">
        <f>IF('Customer Info'!$C$33=TRUE,0,IF($C$15&lt;=2000,0,IF($C$15=0,0,IF($C$15-2000&gt;13000,13000,$C$15-2000))))</f>
        <v>0</v>
      </c>
      <c r="E30" s="461" t="s">
        <v>41</v>
      </c>
      <c r="F30" s="462" t="s">
        <v>8</v>
      </c>
      <c r="G30" s="479"/>
      <c r="H30" s="479"/>
      <c r="I30" s="480">
        <f>'Rider Rates'!$B$9</f>
        <v>4.1900000000000001E-3</v>
      </c>
      <c r="J30" s="480">
        <f t="shared" si="0"/>
        <v>4.1900000000000001E-3</v>
      </c>
      <c r="K30" s="464" t="s">
        <v>42</v>
      </c>
      <c r="L30" s="250"/>
      <c r="M30" s="250"/>
      <c r="N30" s="250">
        <f t="shared" si="1"/>
        <v>0</v>
      </c>
      <c r="O30" s="250">
        <f t="shared" si="2"/>
        <v>0</v>
      </c>
      <c r="P30" s="458">
        <f>'Rider Rates'!$D$7</f>
        <v>44531</v>
      </c>
      <c r="Q30" s="490"/>
      <c r="R30" s="505"/>
      <c r="S30" s="522"/>
      <c r="T30" s="510"/>
      <c r="U30" s="433"/>
      <c r="V30" s="523"/>
      <c r="W30" s="433"/>
      <c r="X30" s="433"/>
      <c r="Y30" s="433"/>
      <c r="Z30" s="433"/>
      <c r="AA30" s="433"/>
      <c r="AB30" s="433"/>
      <c r="AC30" s="433"/>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row>
    <row r="31" spans="1:221" x14ac:dyDescent="0.2">
      <c r="A31" s="477" t="s">
        <v>98</v>
      </c>
      <c r="B31" s="433"/>
      <c r="C31" s="433"/>
      <c r="D31" s="460">
        <f>IF('Customer Info'!$C$33=TRUE,0,IF($C$15=0,0,IF($C$15-15000&gt;=0,$C$15-15000,0)))</f>
        <v>0</v>
      </c>
      <c r="E31" s="461" t="s">
        <v>41</v>
      </c>
      <c r="F31" s="462" t="s">
        <v>8</v>
      </c>
      <c r="G31" s="479"/>
      <c r="H31" s="479"/>
      <c r="I31" s="480">
        <f>'Rider Rates'!$B$10</f>
        <v>3.63E-3</v>
      </c>
      <c r="J31" s="480">
        <f t="shared" si="0"/>
        <v>3.63E-3</v>
      </c>
      <c r="K31" s="464" t="s">
        <v>42</v>
      </c>
      <c r="L31" s="250"/>
      <c r="M31" s="250"/>
      <c r="N31" s="250">
        <f t="shared" si="1"/>
        <v>0</v>
      </c>
      <c r="O31" s="250">
        <f t="shared" si="2"/>
        <v>0</v>
      </c>
      <c r="P31" s="458">
        <f>'Rider Rates'!$D$7</f>
        <v>44531</v>
      </c>
      <c r="Q31" s="490"/>
      <c r="R31" s="505"/>
      <c r="S31" s="522"/>
      <c r="T31" s="510"/>
      <c r="U31" s="433"/>
      <c r="V31" s="52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row>
    <row r="32" spans="1:221" x14ac:dyDescent="0.2">
      <c r="A32" s="432" t="s">
        <v>159</v>
      </c>
      <c r="B32" s="433"/>
      <c r="C32" s="433"/>
      <c r="D32" s="460">
        <f>IF($C$15&lt;0,0,$C$15)</f>
        <v>0</v>
      </c>
      <c r="E32" s="461" t="s">
        <v>41</v>
      </c>
      <c r="F32" s="462" t="s">
        <v>8</v>
      </c>
      <c r="G32" s="479"/>
      <c r="H32" s="479"/>
      <c r="I32" s="479">
        <f>'Rider Rates'!$B$16</f>
        <v>0</v>
      </c>
      <c r="J32" s="479">
        <f>SUM(G32:I32)</f>
        <v>0</v>
      </c>
      <c r="K32" s="464" t="s">
        <v>42</v>
      </c>
      <c r="L32" s="250"/>
      <c r="M32" s="250"/>
      <c r="N32" s="250">
        <f t="shared" si="1"/>
        <v>0</v>
      </c>
      <c r="O32" s="250">
        <f t="shared" si="2"/>
        <v>0</v>
      </c>
      <c r="P32" s="458">
        <f>'Rider Rates'!$D$16</f>
        <v>45197</v>
      </c>
      <c r="Q32" s="490"/>
      <c r="R32" s="505"/>
      <c r="S32" s="522"/>
      <c r="T32" s="510"/>
      <c r="U32" s="433"/>
      <c r="V32" s="523"/>
      <c r="W32" s="433"/>
      <c r="X32" s="433"/>
      <c r="Y32" s="433"/>
      <c r="Z32" s="433"/>
      <c r="AA32" s="433"/>
      <c r="AB32" s="433"/>
      <c r="AC32" s="433"/>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row>
    <row r="33" spans="1:221" x14ac:dyDescent="0.2">
      <c r="A33" s="432" t="s">
        <v>245</v>
      </c>
      <c r="B33" s="433"/>
      <c r="C33" s="433"/>
      <c r="D33" s="428">
        <f>$N$23</f>
        <v>825</v>
      </c>
      <c r="E33" s="461" t="s">
        <v>121</v>
      </c>
      <c r="F33" s="462" t="s">
        <v>8</v>
      </c>
      <c r="G33" s="479"/>
      <c r="H33" s="479"/>
      <c r="I33" s="481">
        <f>'Rider Rates'!$B$18+'Rider Rates'!$E$18</f>
        <v>0</v>
      </c>
      <c r="J33" s="481">
        <f>SUM(G33:I33)</f>
        <v>0</v>
      </c>
      <c r="K33" s="464"/>
      <c r="L33" s="250"/>
      <c r="M33" s="250"/>
      <c r="N33" s="250">
        <f>ROUND($D$33*'Rider Rates'!$B$18,2)+ROUND($D$33*'Rider Rates'!$E$18,2)</f>
        <v>0</v>
      </c>
      <c r="O33" s="250">
        <f t="shared" si="2"/>
        <v>0</v>
      </c>
      <c r="P33" s="458">
        <f>MAX('Rider Rates'!$D$18,'Rider Rates'!$F$18)</f>
        <v>44531</v>
      </c>
      <c r="Q33" s="490"/>
      <c r="R33" s="505"/>
      <c r="S33" s="522"/>
      <c r="T33" s="510"/>
      <c r="U33" s="433"/>
      <c r="V33" s="523"/>
      <c r="W33" s="433"/>
      <c r="X33" s="433"/>
      <c r="Y33" s="433"/>
      <c r="Z33" s="433"/>
      <c r="AA33" s="433"/>
      <c r="AB33" s="433"/>
      <c r="AC33" s="433"/>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row>
    <row r="34" spans="1:221" x14ac:dyDescent="0.2">
      <c r="A34" s="432" t="s">
        <v>194</v>
      </c>
      <c r="B34" s="433"/>
      <c r="C34" s="433"/>
      <c r="D34" s="460">
        <f>C15</f>
        <v>0</v>
      </c>
      <c r="E34" s="461" t="s">
        <v>41</v>
      </c>
      <c r="F34" s="462" t="s">
        <v>8</v>
      </c>
      <c r="G34" s="479"/>
      <c r="H34" s="479"/>
      <c r="I34" s="479"/>
      <c r="J34" s="482">
        <f>SUM(G34:H34)</f>
        <v>0</v>
      </c>
      <c r="K34" s="464" t="s">
        <v>42</v>
      </c>
      <c r="L34" s="250">
        <f>ROUND(D34*G34,2)</f>
        <v>0</v>
      </c>
      <c r="M34" s="250"/>
      <c r="N34" s="250"/>
      <c r="O34" s="250">
        <f t="shared" si="2"/>
        <v>0</v>
      </c>
      <c r="P34" s="458">
        <f>'Rider Rates'!$D$22</f>
        <v>45444</v>
      </c>
      <c r="Q34" s="490"/>
      <c r="R34" s="505"/>
      <c r="S34" s="522"/>
      <c r="T34" s="510"/>
      <c r="U34" s="433"/>
      <c r="V34" s="52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row>
    <row r="35" spans="1:221" x14ac:dyDescent="0.2">
      <c r="A35" s="432" t="s">
        <v>164</v>
      </c>
      <c r="B35" s="433"/>
      <c r="C35" s="433"/>
      <c r="D35" s="460">
        <f>C16</f>
        <v>0</v>
      </c>
      <c r="E35" s="461" t="s">
        <v>41</v>
      </c>
      <c r="F35" s="462" t="s">
        <v>8</v>
      </c>
      <c r="G35" s="479"/>
      <c r="H35" s="479"/>
      <c r="I35" s="479"/>
      <c r="J35" s="482">
        <f>SUM(G35:H35)</f>
        <v>0</v>
      </c>
      <c r="K35" s="464" t="s">
        <v>42</v>
      </c>
      <c r="L35" s="250">
        <f>ROUND(D35*G35,2)</f>
        <v>0</v>
      </c>
      <c r="M35" s="250"/>
      <c r="N35" s="250"/>
      <c r="O35" s="250">
        <f t="shared" si="2"/>
        <v>0</v>
      </c>
      <c r="P35" s="458">
        <f>'Rider Rates'!$D$38</f>
        <v>45444</v>
      </c>
      <c r="Q35" s="490"/>
      <c r="R35" s="505"/>
      <c r="S35" s="522"/>
      <c r="T35" s="510"/>
      <c r="U35" s="433"/>
      <c r="V35" s="52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row>
    <row r="36" spans="1:221" x14ac:dyDescent="0.2">
      <c r="A36" s="432" t="s">
        <v>227</v>
      </c>
      <c r="B36" s="433"/>
      <c r="C36" s="433"/>
      <c r="D36" s="460">
        <f>C17</f>
        <v>0</v>
      </c>
      <c r="E36" s="461" t="s">
        <v>41</v>
      </c>
      <c r="F36" s="454" t="s">
        <v>8</v>
      </c>
      <c r="G36" s="479"/>
      <c r="H36" s="479"/>
      <c r="I36" s="479"/>
      <c r="J36" s="482">
        <f>SUM(G36:H36)</f>
        <v>0</v>
      </c>
      <c r="K36" s="464" t="s">
        <v>42</v>
      </c>
      <c r="L36" s="250">
        <f>ROUND(D36*G36,2)</f>
        <v>0</v>
      </c>
      <c r="M36" s="250"/>
      <c r="N36" s="250"/>
      <c r="O36" s="250">
        <f t="shared" si="2"/>
        <v>0</v>
      </c>
      <c r="P36" s="458">
        <f>'Rider Rates'!D39</f>
        <v>45444</v>
      </c>
      <c r="Q36" s="490"/>
      <c r="R36" s="505"/>
      <c r="S36" s="522"/>
      <c r="T36" s="510"/>
      <c r="U36" s="433"/>
      <c r="V36" s="523"/>
      <c r="W36" s="433"/>
      <c r="X36" s="433"/>
      <c r="Y36" s="433"/>
      <c r="Z36" s="433"/>
      <c r="AA36" s="433"/>
      <c r="AB36" s="433"/>
      <c r="AC36" s="433"/>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row>
    <row r="37" spans="1:221" x14ac:dyDescent="0.2">
      <c r="A37" s="432" t="s">
        <v>201</v>
      </c>
      <c r="B37" s="433"/>
      <c r="C37" s="433"/>
      <c r="D37" s="460">
        <f>C16+C17</f>
        <v>0</v>
      </c>
      <c r="E37" s="461" t="s">
        <v>41</v>
      </c>
      <c r="F37" s="462" t="s">
        <v>8</v>
      </c>
      <c r="G37" s="479"/>
      <c r="H37" s="479"/>
      <c r="I37" s="479"/>
      <c r="J37" s="482">
        <f>SUM(G37:H37)</f>
        <v>0</v>
      </c>
      <c r="K37" s="464" t="s">
        <v>42</v>
      </c>
      <c r="L37" s="250">
        <f>ROUND(D37*G37,2)</f>
        <v>0</v>
      </c>
      <c r="M37" s="250"/>
      <c r="N37" s="250"/>
      <c r="O37" s="250">
        <f t="shared" si="2"/>
        <v>0</v>
      </c>
      <c r="P37" s="458">
        <f>'Rider Rates'!$D$49</f>
        <v>45471</v>
      </c>
      <c r="Q37" s="490"/>
      <c r="R37" s="505"/>
      <c r="S37" s="522"/>
      <c r="T37" s="510"/>
      <c r="U37" s="433"/>
      <c r="V37" s="52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row>
    <row r="38" spans="1:221" x14ac:dyDescent="0.2">
      <c r="A38" s="483" t="s">
        <v>218</v>
      </c>
      <c r="B38" s="433"/>
      <c r="C38" s="433"/>
      <c r="D38" s="460">
        <f>IF($C$15&lt;0,0,IF($C$15&gt;833000,833000,$C$15))</f>
        <v>0</v>
      </c>
      <c r="E38" s="461" t="s">
        <v>41</v>
      </c>
      <c r="F38" s="462" t="s">
        <v>8</v>
      </c>
      <c r="G38" s="479"/>
      <c r="H38" s="479"/>
      <c r="I38" s="479">
        <f>'Rider Rates'!D53</f>
        <v>1.8006999999999999E-3</v>
      </c>
      <c r="J38" s="479">
        <f>SUM(G38:I38)</f>
        <v>1.8006999999999999E-3</v>
      </c>
      <c r="K38" s="464" t="s">
        <v>42</v>
      </c>
      <c r="L38" s="250"/>
      <c r="M38" s="250"/>
      <c r="N38" s="250">
        <f>D38*J38</f>
        <v>0</v>
      </c>
      <c r="O38" s="250">
        <f t="shared" si="2"/>
        <v>0</v>
      </c>
      <c r="P38" s="458">
        <f>'Rider Rates'!E53</f>
        <v>45474</v>
      </c>
      <c r="Q38" s="490"/>
      <c r="R38" s="505"/>
      <c r="S38" s="522"/>
      <c r="T38" s="510"/>
      <c r="U38" s="433"/>
      <c r="V38" s="52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c r="GD38" s="433"/>
      <c r="GE38" s="433"/>
      <c r="GF38" s="433"/>
      <c r="GG38" s="433"/>
      <c r="GH38" s="433"/>
      <c r="GI38" s="433"/>
      <c r="GJ38" s="433"/>
      <c r="GK38" s="433"/>
      <c r="GL38" s="433"/>
      <c r="GM38" s="433"/>
      <c r="GN38" s="433"/>
      <c r="GO38" s="433"/>
      <c r="GP38" s="433"/>
      <c r="GQ38" s="433"/>
      <c r="GR38" s="433"/>
      <c r="GS38" s="433"/>
      <c r="GT38" s="433"/>
      <c r="GU38" s="433"/>
      <c r="GV38" s="433"/>
      <c r="GW38" s="433"/>
      <c r="GX38" s="433"/>
      <c r="GY38" s="433"/>
      <c r="GZ38" s="433"/>
      <c r="HA38" s="433"/>
      <c r="HB38" s="433"/>
      <c r="HC38" s="433"/>
      <c r="HD38" s="433"/>
      <c r="HE38" s="433"/>
      <c r="HF38" s="433"/>
      <c r="HG38" s="433"/>
      <c r="HH38" s="433"/>
      <c r="HI38" s="433"/>
      <c r="HJ38" s="433"/>
      <c r="HK38" s="433"/>
      <c r="HL38" s="433"/>
      <c r="HM38" s="433"/>
    </row>
    <row r="39" spans="1:221" x14ac:dyDescent="0.2">
      <c r="A39" s="432" t="s">
        <v>197</v>
      </c>
      <c r="B39" s="433"/>
      <c r="C39" s="433"/>
      <c r="D39" s="460">
        <f>IF($C$15&lt;0,0,$C$15)</f>
        <v>0</v>
      </c>
      <c r="E39" s="484" t="s">
        <v>41</v>
      </c>
      <c r="F39" s="462" t="s">
        <v>8</v>
      </c>
      <c r="G39" s="479"/>
      <c r="H39" s="479">
        <f>'Rider Rates'!$B$60</f>
        <v>2.3467399999999999E-2</v>
      </c>
      <c r="I39" s="479"/>
      <c r="J39" s="479">
        <f>SUM(G39:I39)</f>
        <v>2.3467399999999999E-2</v>
      </c>
      <c r="K39" s="464" t="s">
        <v>42</v>
      </c>
      <c r="L39" s="250"/>
      <c r="M39" s="250">
        <f>ROUND(D39*H39,2)</f>
        <v>0</v>
      </c>
      <c r="N39" s="485"/>
      <c r="O39" s="250">
        <f t="shared" si="2"/>
        <v>0</v>
      </c>
      <c r="P39" s="458">
        <f>'Rider Rates'!$D$60</f>
        <v>45383</v>
      </c>
      <c r="Q39" s="490"/>
      <c r="R39" s="505"/>
      <c r="S39" s="522"/>
      <c r="T39" s="510"/>
      <c r="U39" s="433"/>
      <c r="V39" s="52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c r="GD39" s="433"/>
      <c r="GE39" s="433"/>
      <c r="GF39" s="433"/>
      <c r="GG39" s="433"/>
      <c r="GH39" s="433"/>
      <c r="GI39" s="433"/>
      <c r="GJ39" s="433"/>
      <c r="GK39" s="433"/>
      <c r="GL39" s="433"/>
      <c r="GM39" s="433"/>
      <c r="GN39" s="433"/>
      <c r="GO39" s="433"/>
      <c r="GP39" s="433"/>
      <c r="GQ39" s="433"/>
      <c r="GR39" s="433"/>
      <c r="GS39" s="433"/>
      <c r="GT39" s="433"/>
      <c r="GU39" s="433"/>
      <c r="GV39" s="433"/>
      <c r="GW39" s="433"/>
      <c r="GX39" s="433"/>
      <c r="GY39" s="433"/>
      <c r="GZ39" s="433"/>
      <c r="HA39" s="433"/>
      <c r="HB39" s="433"/>
      <c r="HC39" s="433"/>
      <c r="HD39" s="433"/>
      <c r="HE39" s="433"/>
      <c r="HF39" s="433"/>
      <c r="HG39" s="433"/>
      <c r="HH39" s="433"/>
      <c r="HI39" s="433"/>
      <c r="HJ39" s="433"/>
      <c r="HK39" s="433"/>
      <c r="HL39" s="433"/>
      <c r="HM39" s="433"/>
    </row>
    <row r="40" spans="1:221" x14ac:dyDescent="0.2">
      <c r="A40" s="477" t="s">
        <v>95</v>
      </c>
      <c r="B40" s="433"/>
      <c r="C40" s="433"/>
      <c r="D40" s="460">
        <f>IF('Customer Info'!C35=TRUE,0,IF($C$15&lt;0,0,$C$15))</f>
        <v>0</v>
      </c>
      <c r="E40" s="461" t="s">
        <v>41</v>
      </c>
      <c r="F40" s="462" t="s">
        <v>8</v>
      </c>
      <c r="G40" s="479"/>
      <c r="H40" s="479"/>
      <c r="I40" s="479">
        <f>'Rider Rates'!$B$74+'Rider Rates'!$C$74</f>
        <v>0</v>
      </c>
      <c r="J40" s="479">
        <f t="shared" si="0"/>
        <v>0</v>
      </c>
      <c r="K40" s="464" t="s">
        <v>42</v>
      </c>
      <c r="L40" s="250"/>
      <c r="M40" s="250"/>
      <c r="N40" s="250">
        <f>ROUND($D$40*'Rider Rates'!$B$74,2)+ROUND($D$40*'Rider Rates'!$C$74,2)</f>
        <v>0</v>
      </c>
      <c r="O40" s="250">
        <f t="shared" si="2"/>
        <v>0</v>
      </c>
      <c r="P40" s="458">
        <f>'Rider Rates'!$D$74</f>
        <v>44531</v>
      </c>
      <c r="Q40" s="490"/>
      <c r="R40" s="505"/>
      <c r="S40" s="522"/>
      <c r="T40" s="510"/>
      <c r="U40" s="433"/>
      <c r="V40" s="523"/>
      <c r="W40" s="433"/>
      <c r="X40" s="433"/>
      <c r="Y40" s="433"/>
      <c r="Z40" s="433"/>
      <c r="AA40" s="433"/>
      <c r="AB40" s="433"/>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c r="BA40" s="433"/>
      <c r="BB40" s="433"/>
      <c r="BC40" s="433"/>
      <c r="BD40" s="433"/>
      <c r="BE40" s="433"/>
      <c r="BF40" s="433"/>
      <c r="BG40" s="433"/>
      <c r="BH40" s="433"/>
      <c r="BI40" s="433"/>
      <c r="BJ40" s="433"/>
      <c r="BK40" s="433"/>
      <c r="BL40" s="433"/>
      <c r="BM40" s="433"/>
      <c r="BN40" s="433"/>
      <c r="BO40" s="433"/>
      <c r="BP40" s="433"/>
      <c r="BQ40" s="433"/>
      <c r="BR40" s="433"/>
      <c r="BS40" s="433"/>
      <c r="BT40" s="433"/>
      <c r="BU40" s="433"/>
      <c r="BV40" s="433"/>
      <c r="BW40" s="433"/>
      <c r="BX40" s="433"/>
      <c r="BY40" s="433"/>
      <c r="BZ40" s="433"/>
      <c r="CA40" s="433"/>
      <c r="CB40" s="433"/>
      <c r="CC40" s="433"/>
      <c r="CD40" s="433"/>
      <c r="CE40" s="433"/>
      <c r="CF40" s="433"/>
      <c r="CG40" s="433"/>
      <c r="CH40" s="433"/>
      <c r="CI40" s="433"/>
      <c r="CJ40" s="433"/>
      <c r="CK40" s="433"/>
      <c r="CL40" s="433"/>
      <c r="CM40" s="433"/>
      <c r="CN40" s="433"/>
      <c r="CO40" s="433"/>
      <c r="CP40" s="433"/>
      <c r="CQ40" s="433"/>
      <c r="CR40" s="433"/>
      <c r="CS40" s="433"/>
      <c r="CT40" s="433"/>
      <c r="CU40" s="433"/>
      <c r="CV40" s="433"/>
      <c r="CW40" s="433"/>
      <c r="CX40" s="433"/>
      <c r="CY40" s="433"/>
      <c r="CZ40" s="433"/>
      <c r="DA40" s="433"/>
      <c r="DB40" s="433"/>
      <c r="DC40" s="433"/>
      <c r="DD40" s="433"/>
      <c r="DE40" s="433"/>
      <c r="DF40" s="433"/>
      <c r="DG40" s="433"/>
      <c r="DH40" s="433"/>
      <c r="DI40" s="433"/>
      <c r="DJ40" s="433"/>
      <c r="DK40" s="433"/>
      <c r="DL40" s="433"/>
      <c r="DM40" s="433"/>
      <c r="DN40" s="433"/>
      <c r="DO40" s="433"/>
      <c r="DP40" s="433"/>
      <c r="DQ40" s="433"/>
      <c r="DR40" s="433"/>
      <c r="DS40" s="433"/>
      <c r="DT40" s="433"/>
      <c r="DU40" s="433"/>
      <c r="DV40" s="433"/>
      <c r="DW40" s="433"/>
      <c r="DX40" s="433"/>
      <c r="DY40" s="433"/>
      <c r="DZ40" s="433"/>
      <c r="EA40" s="433"/>
      <c r="EB40" s="433"/>
      <c r="EC40" s="433"/>
      <c r="ED40" s="433"/>
      <c r="EE40" s="433"/>
      <c r="EF40" s="433"/>
      <c r="EG40" s="433"/>
      <c r="EH40" s="433"/>
      <c r="EI40" s="433"/>
      <c r="EJ40" s="433"/>
      <c r="EK40" s="433"/>
      <c r="EL40" s="433"/>
      <c r="EM40" s="433"/>
      <c r="EN40" s="433"/>
      <c r="EO40" s="433"/>
      <c r="EP40" s="433"/>
      <c r="EQ40" s="433"/>
      <c r="ER40" s="433"/>
      <c r="ES40" s="433"/>
      <c r="ET40" s="433"/>
      <c r="EU40" s="433"/>
      <c r="EV40" s="433"/>
      <c r="EW40" s="433"/>
      <c r="EX40" s="433"/>
      <c r="EY40" s="433"/>
      <c r="EZ40" s="433"/>
      <c r="FA40" s="433"/>
      <c r="FB40" s="433"/>
      <c r="FC40" s="433"/>
      <c r="FD40" s="433"/>
      <c r="FE40" s="433"/>
      <c r="FF40" s="433"/>
      <c r="FG40" s="433"/>
      <c r="FH40" s="433"/>
      <c r="FI40" s="433"/>
      <c r="FJ40" s="433"/>
      <c r="FK40" s="433"/>
      <c r="FL40" s="433"/>
      <c r="FM40" s="433"/>
      <c r="FN40" s="433"/>
      <c r="FO40" s="433"/>
      <c r="FP40" s="433"/>
      <c r="FQ40" s="433"/>
      <c r="FR40" s="433"/>
      <c r="FS40" s="433"/>
      <c r="FT40" s="433"/>
      <c r="FU40" s="433"/>
      <c r="FV40" s="433"/>
      <c r="FW40" s="433"/>
      <c r="FX40" s="433"/>
      <c r="FY40" s="433"/>
      <c r="FZ40" s="433"/>
      <c r="GA40" s="433"/>
      <c r="GB40" s="433"/>
      <c r="GC40" s="433"/>
      <c r="GD40" s="433"/>
      <c r="GE40" s="433"/>
      <c r="GF40" s="433"/>
      <c r="GG40" s="433"/>
      <c r="GH40" s="433"/>
      <c r="GI40" s="433"/>
      <c r="GJ40" s="433"/>
      <c r="GK40" s="433"/>
      <c r="GL40" s="433"/>
      <c r="GM40" s="433"/>
      <c r="GN40" s="433"/>
      <c r="GO40" s="433"/>
      <c r="GP40" s="433"/>
      <c r="GQ40" s="433"/>
      <c r="GR40" s="433"/>
      <c r="GS40" s="433"/>
      <c r="GT40" s="433"/>
      <c r="GU40" s="433"/>
      <c r="GV40" s="433"/>
      <c r="GW40" s="433"/>
      <c r="GX40" s="433"/>
      <c r="GY40" s="433"/>
      <c r="GZ40" s="433"/>
      <c r="HA40" s="433"/>
      <c r="HB40" s="433"/>
      <c r="HC40" s="433"/>
      <c r="HD40" s="433"/>
      <c r="HE40" s="433"/>
      <c r="HF40" s="433"/>
      <c r="HG40" s="433"/>
      <c r="HH40" s="433"/>
      <c r="HI40" s="433"/>
      <c r="HJ40" s="433"/>
      <c r="HK40" s="433"/>
      <c r="HL40" s="433"/>
      <c r="HM40" s="433"/>
    </row>
    <row r="41" spans="1:221" x14ac:dyDescent="0.2">
      <c r="A41" s="477" t="s">
        <v>95</v>
      </c>
      <c r="B41" s="433"/>
      <c r="C41" s="433"/>
      <c r="D41" s="460"/>
      <c r="E41" s="461" t="s">
        <v>114</v>
      </c>
      <c r="F41" s="462"/>
      <c r="G41" s="479"/>
      <c r="H41" s="479"/>
      <c r="I41" s="486">
        <f>'Rider Rates'!$B$81</f>
        <v>0</v>
      </c>
      <c r="J41" s="486">
        <f>IF('Customer Info'!C35=TRUE,0,SUM(G41:I41))</f>
        <v>0</v>
      </c>
      <c r="K41" s="464"/>
      <c r="L41" s="250"/>
      <c r="M41" s="250"/>
      <c r="N41" s="250">
        <f>J41</f>
        <v>0</v>
      </c>
      <c r="O41" s="250">
        <f>SUM(L41:N41)</f>
        <v>0</v>
      </c>
      <c r="P41" s="458">
        <v>44531</v>
      </c>
      <c r="Q41" s="490"/>
      <c r="R41" s="505"/>
      <c r="S41" s="522"/>
      <c r="T41" s="510"/>
      <c r="U41" s="433"/>
      <c r="V41" s="523"/>
      <c r="W41" s="433"/>
      <c r="X41" s="433"/>
      <c r="Y41" s="433"/>
      <c r="Z41" s="433"/>
      <c r="AA41" s="433"/>
      <c r="AB41" s="433"/>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c r="BA41" s="433"/>
      <c r="BB41" s="433"/>
      <c r="BC41" s="433"/>
      <c r="BD41" s="433"/>
      <c r="BE41" s="433"/>
      <c r="BF41" s="433"/>
      <c r="BG41" s="433"/>
      <c r="BH41" s="433"/>
      <c r="BI41" s="433"/>
      <c r="BJ41" s="433"/>
      <c r="BK41" s="433"/>
      <c r="BL41" s="433"/>
      <c r="BM41" s="433"/>
      <c r="BN41" s="433"/>
      <c r="BO41" s="433"/>
      <c r="BP41" s="433"/>
      <c r="BQ41" s="433"/>
      <c r="BR41" s="433"/>
      <c r="BS41" s="433"/>
      <c r="BT41" s="433"/>
      <c r="BU41" s="433"/>
      <c r="BV41" s="433"/>
      <c r="BW41" s="433"/>
      <c r="BX41" s="433"/>
      <c r="BY41" s="433"/>
      <c r="BZ41" s="433"/>
      <c r="CA41" s="433"/>
      <c r="CB41" s="433"/>
      <c r="CC41" s="433"/>
      <c r="CD41" s="433"/>
      <c r="CE41" s="433"/>
      <c r="CF41" s="433"/>
      <c r="CG41" s="433"/>
      <c r="CH41" s="433"/>
      <c r="CI41" s="433"/>
      <c r="CJ41" s="433"/>
      <c r="CK41" s="433"/>
      <c r="CL41" s="433"/>
      <c r="CM41" s="433"/>
      <c r="CN41" s="433"/>
      <c r="CO41" s="433"/>
      <c r="CP41" s="433"/>
      <c r="CQ41" s="433"/>
      <c r="CR41" s="433"/>
      <c r="CS41" s="433"/>
      <c r="CT41" s="433"/>
      <c r="CU41" s="433"/>
      <c r="CV41" s="433"/>
      <c r="CW41" s="433"/>
      <c r="CX41" s="433"/>
      <c r="CY41" s="433"/>
      <c r="CZ41" s="433"/>
      <c r="DA41" s="433"/>
      <c r="DB41" s="433"/>
      <c r="DC41" s="433"/>
      <c r="DD41" s="433"/>
      <c r="DE41" s="433"/>
      <c r="DF41" s="433"/>
      <c r="DG41" s="433"/>
      <c r="DH41" s="433"/>
      <c r="DI41" s="433"/>
      <c r="DJ41" s="433"/>
      <c r="DK41" s="433"/>
      <c r="DL41" s="433"/>
      <c r="DM41" s="433"/>
      <c r="DN41" s="433"/>
      <c r="DO41" s="433"/>
      <c r="DP41" s="433"/>
      <c r="DQ41" s="433"/>
      <c r="DR41" s="433"/>
      <c r="DS41" s="433"/>
      <c r="DT41" s="433"/>
      <c r="DU41" s="433"/>
      <c r="DV41" s="433"/>
      <c r="DW41" s="433"/>
      <c r="DX41" s="433"/>
      <c r="DY41" s="433"/>
      <c r="DZ41" s="433"/>
      <c r="EA41" s="433"/>
      <c r="EB41" s="433"/>
      <c r="EC41" s="433"/>
      <c r="ED41" s="433"/>
      <c r="EE41" s="433"/>
      <c r="EF41" s="433"/>
      <c r="EG41" s="433"/>
      <c r="EH41" s="433"/>
      <c r="EI41" s="433"/>
      <c r="EJ41" s="433"/>
      <c r="EK41" s="433"/>
      <c r="EL41" s="433"/>
      <c r="EM41" s="433"/>
      <c r="EN41" s="433"/>
      <c r="EO41" s="433"/>
      <c r="EP41" s="433"/>
      <c r="EQ41" s="433"/>
      <c r="ER41" s="433"/>
      <c r="ES41" s="433"/>
      <c r="ET41" s="433"/>
      <c r="EU41" s="433"/>
      <c r="EV41" s="433"/>
      <c r="EW41" s="433"/>
      <c r="EX41" s="433"/>
      <c r="EY41" s="433"/>
      <c r="EZ41" s="433"/>
      <c r="FA41" s="433"/>
      <c r="FB41" s="433"/>
      <c r="FC41" s="433"/>
      <c r="FD41" s="433"/>
      <c r="FE41" s="433"/>
      <c r="FF41" s="433"/>
      <c r="FG41" s="433"/>
      <c r="FH41" s="433"/>
      <c r="FI41" s="433"/>
      <c r="FJ41" s="433"/>
      <c r="FK41" s="433"/>
      <c r="FL41" s="433"/>
      <c r="FM41" s="433"/>
      <c r="FN41" s="433"/>
      <c r="FO41" s="433"/>
      <c r="FP41" s="433"/>
      <c r="FQ41" s="433"/>
      <c r="FR41" s="433"/>
      <c r="FS41" s="433"/>
      <c r="FT41" s="433"/>
      <c r="FU41" s="433"/>
      <c r="FV41" s="433"/>
      <c r="FW41" s="433"/>
      <c r="FX41" s="433"/>
      <c r="FY41" s="433"/>
      <c r="FZ41" s="433"/>
      <c r="GA41" s="433"/>
      <c r="GB41" s="433"/>
      <c r="GC41" s="433"/>
      <c r="GD41" s="433"/>
      <c r="GE41" s="433"/>
      <c r="GF41" s="433"/>
      <c r="GG41" s="433"/>
      <c r="GH41" s="433"/>
      <c r="GI41" s="433"/>
      <c r="GJ41" s="433"/>
      <c r="GK41" s="433"/>
      <c r="GL41" s="433"/>
      <c r="GM41" s="433"/>
      <c r="GN41" s="433"/>
      <c r="GO41" s="433"/>
      <c r="GP41" s="433"/>
      <c r="GQ41" s="433"/>
      <c r="GR41" s="433"/>
      <c r="GS41" s="433"/>
      <c r="GT41" s="433"/>
      <c r="GU41" s="433"/>
      <c r="GV41" s="433"/>
      <c r="GW41" s="433"/>
      <c r="GX41" s="433"/>
      <c r="GY41" s="433"/>
      <c r="GZ41" s="433"/>
      <c r="HA41" s="433"/>
      <c r="HB41" s="433"/>
      <c r="HC41" s="433"/>
      <c r="HD41" s="433"/>
      <c r="HE41" s="433"/>
      <c r="HF41" s="433"/>
      <c r="HG41" s="433"/>
      <c r="HH41" s="433"/>
      <c r="HI41" s="433"/>
      <c r="HJ41" s="433"/>
      <c r="HK41" s="433"/>
      <c r="HL41" s="433"/>
      <c r="HM41" s="433"/>
    </row>
    <row r="42" spans="1:221" x14ac:dyDescent="0.2">
      <c r="A42" s="477" t="s">
        <v>80</v>
      </c>
      <c r="B42" s="433"/>
      <c r="C42" s="433"/>
      <c r="D42" s="428">
        <f>$N$23</f>
        <v>825</v>
      </c>
      <c r="E42" s="461" t="s">
        <v>121</v>
      </c>
      <c r="F42" s="462" t="s">
        <v>8</v>
      </c>
      <c r="G42" s="487"/>
      <c r="H42" s="452"/>
      <c r="I42" s="488">
        <f>'Rider Rates'!$B$89</f>
        <v>2.9347000000000002E-2</v>
      </c>
      <c r="J42" s="488">
        <f t="shared" si="0"/>
        <v>2.9347000000000002E-2</v>
      </c>
      <c r="K42" s="464"/>
      <c r="L42" s="250"/>
      <c r="M42" s="250"/>
      <c r="N42" s="250">
        <f>ROUND(D42*I42,2)</f>
        <v>24.21</v>
      </c>
      <c r="O42" s="250">
        <f t="shared" si="2"/>
        <v>24.21</v>
      </c>
      <c r="P42" s="458">
        <f>'Rider Rates'!$D$89</f>
        <v>45383</v>
      </c>
      <c r="Q42" s="490"/>
      <c r="R42" s="505"/>
      <c r="S42" s="522"/>
      <c r="T42" s="510"/>
      <c r="U42" s="433"/>
      <c r="V42" s="52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33"/>
      <c r="DI42" s="433"/>
      <c r="DJ42" s="433"/>
      <c r="DK42" s="433"/>
      <c r="DL42" s="433"/>
      <c r="DM42" s="433"/>
      <c r="DN42" s="433"/>
      <c r="DO42" s="433"/>
      <c r="DP42" s="433"/>
      <c r="DQ42" s="433"/>
      <c r="DR42" s="433"/>
      <c r="DS42" s="433"/>
      <c r="DT42" s="433"/>
      <c r="DU42" s="433"/>
      <c r="DV42" s="433"/>
      <c r="DW42" s="433"/>
      <c r="DX42" s="433"/>
      <c r="DY42" s="433"/>
      <c r="DZ42" s="433"/>
      <c r="EA42" s="433"/>
      <c r="EB42" s="433"/>
      <c r="EC42" s="433"/>
      <c r="ED42" s="433"/>
      <c r="EE42" s="433"/>
      <c r="EF42" s="433"/>
      <c r="EG42" s="433"/>
      <c r="EH42" s="433"/>
      <c r="EI42" s="433"/>
      <c r="EJ42" s="433"/>
      <c r="EK42" s="433"/>
      <c r="EL42" s="433"/>
      <c r="EM42" s="433"/>
      <c r="EN42" s="433"/>
      <c r="EO42" s="433"/>
      <c r="EP42" s="433"/>
      <c r="EQ42" s="433"/>
      <c r="ER42" s="433"/>
      <c r="ES42" s="433"/>
      <c r="ET42" s="433"/>
      <c r="EU42" s="433"/>
      <c r="EV42" s="433"/>
      <c r="EW42" s="433"/>
      <c r="EX42" s="433"/>
      <c r="EY42" s="433"/>
      <c r="EZ42" s="433"/>
      <c r="FA42" s="433"/>
      <c r="FB42" s="433"/>
      <c r="FC42" s="433"/>
      <c r="FD42" s="433"/>
      <c r="FE42" s="433"/>
      <c r="FF42" s="433"/>
      <c r="FG42" s="433"/>
      <c r="FH42" s="433"/>
      <c r="FI42" s="433"/>
      <c r="FJ42" s="433"/>
      <c r="FK42" s="433"/>
      <c r="FL42" s="433"/>
      <c r="FM42" s="433"/>
      <c r="FN42" s="433"/>
      <c r="FO42" s="433"/>
      <c r="FP42" s="433"/>
      <c r="FQ42" s="433"/>
      <c r="FR42" s="433"/>
      <c r="FS42" s="433"/>
      <c r="FT42" s="433"/>
      <c r="FU42" s="433"/>
      <c r="FV42" s="433"/>
      <c r="FW42" s="433"/>
      <c r="FX42" s="433"/>
      <c r="FY42" s="433"/>
      <c r="FZ42" s="433"/>
      <c r="GA42" s="433"/>
      <c r="GB42" s="433"/>
      <c r="GC42" s="433"/>
      <c r="GD42" s="433"/>
      <c r="GE42" s="433"/>
      <c r="GF42" s="433"/>
      <c r="GG42" s="433"/>
      <c r="GH42" s="433"/>
      <c r="GI42" s="433"/>
      <c r="GJ42" s="433"/>
      <c r="GK42" s="433"/>
      <c r="GL42" s="433"/>
      <c r="GM42" s="433"/>
      <c r="GN42" s="433"/>
      <c r="GO42" s="433"/>
      <c r="GP42" s="433"/>
      <c r="GQ42" s="433"/>
      <c r="GR42" s="433"/>
      <c r="GS42" s="433"/>
      <c r="GT42" s="433"/>
      <c r="GU42" s="433"/>
      <c r="GV42" s="433"/>
      <c r="GW42" s="433"/>
      <c r="GX42" s="433"/>
      <c r="GY42" s="433"/>
      <c r="GZ42" s="433"/>
      <c r="HA42" s="433"/>
      <c r="HB42" s="433"/>
      <c r="HC42" s="433"/>
      <c r="HD42" s="433"/>
      <c r="HE42" s="433"/>
      <c r="HF42" s="433"/>
      <c r="HG42" s="433"/>
      <c r="HH42" s="433"/>
      <c r="HI42" s="433"/>
      <c r="HJ42" s="433"/>
      <c r="HK42" s="433"/>
      <c r="HL42" s="433"/>
      <c r="HM42" s="433"/>
    </row>
    <row r="43" spans="1:221" x14ac:dyDescent="0.2">
      <c r="A43" s="477" t="s">
        <v>81</v>
      </c>
      <c r="B43" s="433"/>
      <c r="C43" s="433"/>
      <c r="D43" s="428">
        <f>$N$23</f>
        <v>825</v>
      </c>
      <c r="E43" s="461" t="s">
        <v>121</v>
      </c>
      <c r="F43" s="462" t="s">
        <v>8</v>
      </c>
      <c r="G43" s="489"/>
      <c r="H43" s="452"/>
      <c r="I43" s="488">
        <f>'Rider Rates'!$B$91</f>
        <v>6.6985699999999995E-2</v>
      </c>
      <c r="J43" s="488">
        <f t="shared" si="0"/>
        <v>6.6985699999999995E-2</v>
      </c>
      <c r="K43" s="464"/>
      <c r="L43" s="250"/>
      <c r="M43" s="250"/>
      <c r="N43" s="250">
        <f>ROUND(D43*I43,2)</f>
        <v>55.26</v>
      </c>
      <c r="O43" s="250">
        <f t="shared" si="2"/>
        <v>55.26</v>
      </c>
      <c r="P43" s="458">
        <f>'Rider Rates'!$D$91</f>
        <v>45167</v>
      </c>
      <c r="Q43" s="490"/>
      <c r="R43" s="505"/>
      <c r="S43" s="522"/>
      <c r="T43" s="510"/>
      <c r="U43" s="433"/>
      <c r="V43" s="523"/>
      <c r="W43" s="433"/>
      <c r="X43" s="433"/>
      <c r="Y43" s="433"/>
      <c r="Z43" s="433"/>
      <c r="AA43" s="433"/>
      <c r="AB43" s="433"/>
      <c r="AC43" s="433"/>
      <c r="AD43" s="433"/>
      <c r="AE43" s="433"/>
      <c r="AF43" s="4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c r="GD43" s="433"/>
      <c r="GE43" s="433"/>
      <c r="GF43" s="433"/>
      <c r="GG43" s="433"/>
      <c r="GH43" s="433"/>
      <c r="GI43" s="433"/>
      <c r="GJ43" s="433"/>
      <c r="GK43" s="433"/>
      <c r="GL43" s="433"/>
      <c r="GM43" s="433"/>
      <c r="GN43" s="433"/>
      <c r="GO43" s="433"/>
      <c r="GP43" s="433"/>
      <c r="GQ43" s="433"/>
      <c r="GR43" s="433"/>
      <c r="GS43" s="433"/>
      <c r="GT43" s="433"/>
      <c r="GU43" s="433"/>
      <c r="GV43" s="433"/>
      <c r="GW43" s="433"/>
      <c r="GX43" s="433"/>
      <c r="GY43" s="433"/>
      <c r="GZ43" s="433"/>
      <c r="HA43" s="433"/>
      <c r="HB43" s="433"/>
      <c r="HC43" s="433"/>
      <c r="HD43" s="433"/>
      <c r="HE43" s="433"/>
      <c r="HF43" s="433"/>
      <c r="HG43" s="433"/>
      <c r="HH43" s="433"/>
      <c r="HI43" s="433"/>
      <c r="HJ43" s="433"/>
      <c r="HK43" s="433"/>
      <c r="HL43" s="433"/>
      <c r="HM43" s="433"/>
    </row>
    <row r="44" spans="1:221" x14ac:dyDescent="0.2">
      <c r="A44" s="432" t="s">
        <v>214</v>
      </c>
      <c r="B44" s="433"/>
      <c r="C44" s="433"/>
      <c r="D44" s="428"/>
      <c r="E44" s="484" t="s">
        <v>114</v>
      </c>
      <c r="F44" s="490"/>
      <c r="G44" s="489"/>
      <c r="H44" s="452"/>
      <c r="I44" s="486">
        <f>'Rider Rates'!$B$95</f>
        <v>11.97</v>
      </c>
      <c r="J44" s="486">
        <f t="shared" si="0"/>
        <v>11.97</v>
      </c>
      <c r="K44" s="464"/>
      <c r="L44" s="250"/>
      <c r="M44" s="250"/>
      <c r="N44" s="250">
        <f>I44</f>
        <v>11.97</v>
      </c>
      <c r="O44" s="250">
        <f t="shared" si="2"/>
        <v>11.97</v>
      </c>
      <c r="P44" s="458">
        <f>'Rider Rates'!$D$95</f>
        <v>45442</v>
      </c>
      <c r="Q44" s="490"/>
      <c r="R44" s="505"/>
      <c r="S44" s="522"/>
      <c r="T44" s="510"/>
      <c r="U44" s="433"/>
      <c r="V44" s="523"/>
      <c r="W44" s="433"/>
      <c r="X44" s="433"/>
      <c r="Y44" s="433"/>
      <c r="Z44" s="433"/>
      <c r="AA44" s="433"/>
      <c r="AB44" s="433"/>
      <c r="AC44" s="433"/>
      <c r="AD44" s="433"/>
      <c r="AE44" s="433"/>
      <c r="AF44" s="433"/>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c r="GD44" s="433"/>
      <c r="GE44" s="433"/>
      <c r="GF44" s="433"/>
      <c r="GG44" s="433"/>
      <c r="GH44" s="433"/>
      <c r="GI44" s="433"/>
      <c r="GJ44" s="433"/>
      <c r="GK44" s="433"/>
      <c r="GL44" s="433"/>
      <c r="GM44" s="433"/>
      <c r="GN44" s="433"/>
      <c r="GO44" s="433"/>
      <c r="GP44" s="433"/>
      <c r="GQ44" s="433"/>
      <c r="GR44" s="433"/>
      <c r="GS44" s="433"/>
      <c r="GT44" s="433"/>
      <c r="GU44" s="433"/>
      <c r="GV44" s="433"/>
      <c r="GW44" s="433"/>
      <c r="GX44" s="433"/>
      <c r="GY44" s="433"/>
      <c r="GZ44" s="433"/>
      <c r="HA44" s="433"/>
      <c r="HB44" s="433"/>
      <c r="HC44" s="433"/>
      <c r="HD44" s="433"/>
      <c r="HE44" s="433"/>
      <c r="HF44" s="433"/>
      <c r="HG44" s="433"/>
      <c r="HH44" s="433"/>
      <c r="HI44" s="433"/>
      <c r="HJ44" s="433"/>
      <c r="HK44" s="433"/>
      <c r="HL44" s="433"/>
      <c r="HM44" s="433"/>
    </row>
    <row r="45" spans="1:221" x14ac:dyDescent="0.2">
      <c r="A45" s="432" t="s">
        <v>247</v>
      </c>
      <c r="B45" s="433"/>
      <c r="C45" s="433"/>
      <c r="D45" s="460">
        <f>IF($C$15&lt;0,0,$C$15)</f>
        <v>0</v>
      </c>
      <c r="E45" s="461" t="s">
        <v>41</v>
      </c>
      <c r="F45" s="462" t="s">
        <v>8</v>
      </c>
      <c r="G45" s="479"/>
      <c r="H45" s="479"/>
      <c r="I45" s="479"/>
      <c r="J45" s="479">
        <f>'Rider Rates'!$B$99</f>
        <v>0</v>
      </c>
      <c r="K45" s="464" t="s">
        <v>42</v>
      </c>
      <c r="L45" s="250"/>
      <c r="M45" s="250"/>
      <c r="N45" s="250"/>
      <c r="O45" s="250">
        <f>ROUND($D45*('Rider Rates'!B$99),2)</f>
        <v>0</v>
      </c>
      <c r="P45" s="458">
        <f>'Rider Rates'!$D$99</f>
        <v>44531</v>
      </c>
      <c r="Q45" s="490"/>
      <c r="R45" s="505"/>
      <c r="S45" s="522"/>
      <c r="T45" s="510"/>
      <c r="U45" s="433"/>
      <c r="V45" s="52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row>
    <row r="46" spans="1:221" x14ac:dyDescent="0.2">
      <c r="A46" s="477" t="s">
        <v>156</v>
      </c>
      <c r="B46" s="433"/>
      <c r="C46" s="433"/>
      <c r="D46" s="428">
        <f>$N$23</f>
        <v>825</v>
      </c>
      <c r="E46" s="461" t="s">
        <v>121</v>
      </c>
      <c r="F46" s="462" t="s">
        <v>8</v>
      </c>
      <c r="G46" s="489"/>
      <c r="H46" s="452"/>
      <c r="I46" s="488">
        <f>'Rider Rates'!$B$109</f>
        <v>0.211176</v>
      </c>
      <c r="J46" s="488">
        <f t="shared" si="0"/>
        <v>0.211176</v>
      </c>
      <c r="K46" s="464"/>
      <c r="L46" s="250"/>
      <c r="M46" s="250"/>
      <c r="N46" s="250">
        <f>ROUND(D46*I46,2)</f>
        <v>174.22</v>
      </c>
      <c r="O46" s="250">
        <f t="shared" si="2"/>
        <v>174.22</v>
      </c>
      <c r="P46" s="458">
        <f>'Rider Rates'!$D$109</f>
        <v>45532</v>
      </c>
      <c r="Q46" s="490"/>
      <c r="R46" s="505"/>
      <c r="S46" s="522"/>
      <c r="T46" s="510"/>
      <c r="U46" s="433"/>
      <c r="V46" s="523"/>
      <c r="W46" s="433"/>
      <c r="X46" s="433"/>
      <c r="Y46" s="433"/>
      <c r="Z46" s="433"/>
      <c r="AA46" s="433"/>
      <c r="AB46" s="433"/>
      <c r="AC46" s="433"/>
      <c r="AD46" s="433"/>
      <c r="AE46" s="433"/>
      <c r="AF46" s="433"/>
      <c r="AG46" s="433"/>
      <c r="AH46" s="433"/>
      <c r="AI46" s="433"/>
      <c r="AJ46" s="433"/>
      <c r="AK46" s="433"/>
      <c r="AL46" s="433"/>
      <c r="AM46" s="433"/>
      <c r="AN46" s="433"/>
      <c r="AO46" s="433"/>
      <c r="AP46" s="433"/>
      <c r="AQ46" s="433"/>
      <c r="AR46" s="433"/>
      <c r="AS46" s="433"/>
      <c r="AT46" s="433"/>
      <c r="AU46" s="433"/>
      <c r="AV46" s="433"/>
      <c r="AW46" s="433"/>
      <c r="AX46" s="433"/>
      <c r="AY46" s="433"/>
      <c r="AZ46" s="433"/>
      <c r="BA46" s="433"/>
      <c r="BB46" s="433"/>
      <c r="BC46" s="433"/>
      <c r="BD46" s="433"/>
      <c r="BE46" s="433"/>
      <c r="BF46" s="433"/>
      <c r="BG46" s="433"/>
      <c r="BH46" s="433"/>
      <c r="BI46" s="433"/>
      <c r="BJ46" s="433"/>
      <c r="BK46" s="433"/>
      <c r="BL46" s="433"/>
      <c r="BM46" s="433"/>
      <c r="BN46" s="433"/>
      <c r="BO46" s="433"/>
      <c r="BP46" s="433"/>
      <c r="BQ46" s="433"/>
      <c r="BR46" s="433"/>
      <c r="BS46" s="433"/>
      <c r="BT46" s="433"/>
      <c r="BU46" s="433"/>
      <c r="BV46" s="433"/>
      <c r="BW46" s="433"/>
      <c r="BX46" s="433"/>
      <c r="BY46" s="433"/>
      <c r="BZ46" s="433"/>
      <c r="CA46" s="433"/>
      <c r="CB46" s="433"/>
      <c r="CC46" s="433"/>
      <c r="CD46" s="433"/>
      <c r="CE46" s="433"/>
      <c r="CF46" s="433"/>
      <c r="CG46" s="433"/>
      <c r="CH46" s="433"/>
      <c r="CI46" s="433"/>
      <c r="CJ46" s="433"/>
      <c r="CK46" s="433"/>
      <c r="CL46" s="433"/>
      <c r="CM46" s="433"/>
      <c r="CN46" s="433"/>
      <c r="CO46" s="433"/>
      <c r="CP46" s="433"/>
      <c r="CQ46" s="433"/>
      <c r="CR46" s="433"/>
      <c r="CS46" s="433"/>
      <c r="CT46" s="433"/>
      <c r="CU46" s="433"/>
      <c r="CV46" s="433"/>
      <c r="CW46" s="433"/>
      <c r="CX46" s="433"/>
      <c r="CY46" s="433"/>
      <c r="CZ46" s="433"/>
      <c r="DA46" s="433"/>
      <c r="DB46" s="433"/>
      <c r="DC46" s="433"/>
      <c r="DD46" s="433"/>
      <c r="DE46" s="433"/>
      <c r="DF46" s="433"/>
      <c r="DG46" s="433"/>
      <c r="DH46" s="433"/>
      <c r="DI46" s="433"/>
      <c r="DJ46" s="433"/>
      <c r="DK46" s="433"/>
      <c r="DL46" s="433"/>
      <c r="DM46" s="433"/>
      <c r="DN46" s="433"/>
      <c r="DO46" s="433"/>
      <c r="DP46" s="433"/>
      <c r="DQ46" s="433"/>
      <c r="DR46" s="433"/>
      <c r="DS46" s="433"/>
      <c r="DT46" s="433"/>
      <c r="DU46" s="433"/>
      <c r="DV46" s="433"/>
      <c r="DW46" s="433"/>
      <c r="DX46" s="433"/>
      <c r="DY46" s="433"/>
      <c r="DZ46" s="433"/>
      <c r="EA46" s="433"/>
      <c r="EB46" s="433"/>
      <c r="EC46" s="433"/>
      <c r="ED46" s="433"/>
      <c r="EE46" s="433"/>
      <c r="EF46" s="433"/>
      <c r="EG46" s="433"/>
      <c r="EH46" s="433"/>
      <c r="EI46" s="433"/>
      <c r="EJ46" s="433"/>
      <c r="EK46" s="433"/>
      <c r="EL46" s="433"/>
      <c r="EM46" s="433"/>
      <c r="EN46" s="433"/>
      <c r="EO46" s="433"/>
      <c r="EP46" s="433"/>
      <c r="EQ46" s="433"/>
      <c r="ER46" s="433"/>
      <c r="ES46" s="433"/>
      <c r="ET46" s="433"/>
      <c r="EU46" s="433"/>
      <c r="EV46" s="433"/>
      <c r="EW46" s="433"/>
      <c r="EX46" s="433"/>
      <c r="EY46" s="433"/>
      <c r="EZ46" s="433"/>
      <c r="FA46" s="433"/>
      <c r="FB46" s="433"/>
      <c r="FC46" s="433"/>
      <c r="FD46" s="433"/>
      <c r="FE46" s="433"/>
      <c r="FF46" s="433"/>
      <c r="FG46" s="433"/>
      <c r="FH46" s="433"/>
      <c r="FI46" s="433"/>
      <c r="FJ46" s="433"/>
      <c r="FK46" s="433"/>
      <c r="FL46" s="433"/>
      <c r="FM46" s="433"/>
      <c r="FN46" s="433"/>
      <c r="FO46" s="433"/>
      <c r="FP46" s="433"/>
      <c r="FQ46" s="433"/>
      <c r="FR46" s="433"/>
      <c r="FS46" s="433"/>
      <c r="FT46" s="433"/>
      <c r="FU46" s="433"/>
      <c r="FV46" s="433"/>
      <c r="FW46" s="433"/>
      <c r="FX46" s="433"/>
      <c r="FY46" s="433"/>
      <c r="FZ46" s="433"/>
      <c r="GA46" s="433"/>
      <c r="GB46" s="433"/>
      <c r="GC46" s="433"/>
      <c r="GD46" s="433"/>
      <c r="GE46" s="433"/>
      <c r="GF46" s="433"/>
      <c r="GG46" s="433"/>
      <c r="GH46" s="433"/>
      <c r="GI46" s="433"/>
      <c r="GJ46" s="433"/>
      <c r="GK46" s="433"/>
      <c r="GL46" s="433"/>
      <c r="GM46" s="433"/>
      <c r="GN46" s="433"/>
      <c r="GO46" s="433"/>
      <c r="GP46" s="433"/>
      <c r="GQ46" s="433"/>
      <c r="GR46" s="433"/>
      <c r="GS46" s="433"/>
      <c r="GT46" s="433"/>
      <c r="GU46" s="433"/>
      <c r="GV46" s="433"/>
      <c r="GW46" s="433"/>
      <c r="GX46" s="433"/>
      <c r="GY46" s="433"/>
      <c r="GZ46" s="433"/>
      <c r="HA46" s="433"/>
      <c r="HB46" s="433"/>
      <c r="HC46" s="433"/>
      <c r="HD46" s="433"/>
      <c r="HE46" s="433"/>
      <c r="HF46" s="433"/>
      <c r="HG46" s="433"/>
      <c r="HH46" s="433"/>
      <c r="HI46" s="433"/>
      <c r="HJ46" s="433"/>
      <c r="HK46" s="433"/>
      <c r="HL46" s="433"/>
      <c r="HM46" s="433"/>
    </row>
    <row r="47" spans="1:221" x14ac:dyDescent="0.2">
      <c r="A47" s="432" t="s">
        <v>217</v>
      </c>
      <c r="B47" s="433"/>
      <c r="C47" s="433"/>
      <c r="D47" s="428"/>
      <c r="E47" s="484" t="s">
        <v>114</v>
      </c>
      <c r="F47" s="490"/>
      <c r="G47" s="489"/>
      <c r="H47" s="452"/>
      <c r="I47" s="486">
        <f>'Rider Rates'!$B$113</f>
        <v>0</v>
      </c>
      <c r="J47" s="486">
        <f t="shared" si="0"/>
        <v>0</v>
      </c>
      <c r="K47" s="464"/>
      <c r="L47" s="250"/>
      <c r="M47" s="250"/>
      <c r="N47" s="250">
        <f>I47</f>
        <v>0</v>
      </c>
      <c r="O47" s="250">
        <f t="shared" si="2"/>
        <v>0</v>
      </c>
      <c r="P47" s="458">
        <f>'Rider Rates'!$D$113</f>
        <v>44894</v>
      </c>
      <c r="Q47" s="490"/>
      <c r="R47" s="505"/>
      <c r="S47" s="522"/>
      <c r="T47" s="510"/>
      <c r="U47" s="433"/>
      <c r="V47" s="52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c r="GD47" s="433"/>
      <c r="GE47" s="433"/>
      <c r="GF47" s="433"/>
      <c r="GG47" s="433"/>
      <c r="GH47" s="433"/>
      <c r="GI47" s="433"/>
      <c r="GJ47" s="433"/>
      <c r="GK47" s="433"/>
      <c r="GL47" s="433"/>
      <c r="GM47" s="433"/>
      <c r="GN47" s="433"/>
      <c r="GO47" s="433"/>
      <c r="GP47" s="433"/>
      <c r="GQ47" s="433"/>
      <c r="GR47" s="433"/>
      <c r="GS47" s="433"/>
      <c r="GT47" s="433"/>
      <c r="GU47" s="433"/>
      <c r="GV47" s="433"/>
      <c r="GW47" s="433"/>
      <c r="GX47" s="433"/>
      <c r="GY47" s="433"/>
      <c r="GZ47" s="433"/>
      <c r="HA47" s="433"/>
      <c r="HB47" s="433"/>
      <c r="HC47" s="433"/>
      <c r="HD47" s="433"/>
      <c r="HE47" s="433"/>
      <c r="HF47" s="433"/>
      <c r="HG47" s="433"/>
      <c r="HH47" s="433"/>
      <c r="HI47" s="433"/>
      <c r="HJ47" s="433"/>
      <c r="HK47" s="433"/>
      <c r="HL47" s="433"/>
      <c r="HM47" s="433"/>
    </row>
    <row r="48" spans="1:221" x14ac:dyDescent="0.2">
      <c r="A48" s="432" t="s">
        <v>225</v>
      </c>
      <c r="B48" s="433"/>
      <c r="C48" s="433"/>
      <c r="D48" s="428"/>
      <c r="E48" s="484" t="s">
        <v>114</v>
      </c>
      <c r="F48" s="490"/>
      <c r="G48" s="489"/>
      <c r="H48" s="452"/>
      <c r="I48" s="491">
        <f>'Rider Rates'!B126</f>
        <v>5.83</v>
      </c>
      <c r="J48" s="486">
        <f t="shared" si="0"/>
        <v>5.83</v>
      </c>
      <c r="K48" s="464"/>
      <c r="L48" s="250"/>
      <c r="M48" s="250"/>
      <c r="N48" s="492">
        <f>I48</f>
        <v>5.83</v>
      </c>
      <c r="O48" s="250">
        <f t="shared" si="2"/>
        <v>5.83</v>
      </c>
      <c r="P48" s="458">
        <f>'Rider Rates'!D126</f>
        <v>45226</v>
      </c>
      <c r="Q48" s="490"/>
      <c r="R48" s="505"/>
      <c r="S48" s="522"/>
      <c r="T48" s="510"/>
      <c r="U48" s="433"/>
      <c r="V48" s="52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c r="GD48" s="433"/>
      <c r="GE48" s="433"/>
      <c r="GF48" s="433"/>
      <c r="GG48" s="433"/>
      <c r="GH48" s="433"/>
      <c r="GI48" s="433"/>
      <c r="GJ48" s="433"/>
      <c r="GK48" s="433"/>
      <c r="GL48" s="433"/>
      <c r="GM48" s="433"/>
      <c r="GN48" s="433"/>
      <c r="GO48" s="433"/>
      <c r="GP48" s="433"/>
      <c r="GQ48" s="433"/>
      <c r="GR48" s="433"/>
      <c r="GS48" s="433"/>
      <c r="GT48" s="433"/>
      <c r="GU48" s="433"/>
      <c r="GV48" s="433"/>
      <c r="GW48" s="433"/>
      <c r="GX48" s="433"/>
      <c r="GY48" s="433"/>
      <c r="GZ48" s="433"/>
      <c r="HA48" s="433"/>
      <c r="HB48" s="433"/>
      <c r="HC48" s="433"/>
      <c r="HD48" s="433"/>
      <c r="HE48" s="433"/>
      <c r="HF48" s="433"/>
      <c r="HG48" s="433"/>
      <c r="HH48" s="433"/>
      <c r="HI48" s="433"/>
      <c r="HJ48" s="433"/>
      <c r="HK48" s="433"/>
      <c r="HL48" s="433"/>
      <c r="HM48" s="433"/>
    </row>
    <row r="49" spans="1:236" x14ac:dyDescent="0.2">
      <c r="A49" s="477" t="s">
        <v>157</v>
      </c>
      <c r="B49" s="433"/>
      <c r="C49" s="433"/>
      <c r="D49" s="460">
        <f>C16+C17</f>
        <v>0</v>
      </c>
      <c r="E49" s="461" t="s">
        <v>41</v>
      </c>
      <c r="F49" s="462" t="s">
        <v>8</v>
      </c>
      <c r="G49" s="479"/>
      <c r="H49" s="479"/>
      <c r="I49" s="488"/>
      <c r="J49" s="482">
        <f>SUM(G49:H49)</f>
        <v>0</v>
      </c>
      <c r="K49" s="464" t="s">
        <v>42</v>
      </c>
      <c r="L49" s="250">
        <f>ROUND(D49*G49,2)</f>
        <v>0</v>
      </c>
      <c r="M49" s="250"/>
      <c r="N49" s="250"/>
      <c r="O49" s="250">
        <f t="shared" si="2"/>
        <v>0</v>
      </c>
      <c r="P49" s="458">
        <f>'Rider Rates'!$D$116</f>
        <v>44531</v>
      </c>
      <c r="Q49" s="490"/>
      <c r="R49" s="505"/>
      <c r="S49" s="522"/>
      <c r="T49" s="510"/>
      <c r="U49" s="433"/>
      <c r="V49" s="523"/>
      <c r="W49" s="433"/>
      <c r="X49" s="433"/>
      <c r="Y49" s="433"/>
      <c r="Z49" s="433"/>
      <c r="AA49" s="433"/>
      <c r="AB49" s="433"/>
      <c r="AC49" s="433"/>
      <c r="AD49" s="433"/>
      <c r="AE49" s="433"/>
      <c r="AF49" s="433"/>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c r="GD49" s="433"/>
      <c r="GE49" s="433"/>
      <c r="GF49" s="433"/>
      <c r="GG49" s="433"/>
      <c r="GH49" s="433"/>
      <c r="GI49" s="433"/>
      <c r="GJ49" s="433"/>
      <c r="GK49" s="433"/>
      <c r="GL49" s="433"/>
      <c r="GM49" s="433"/>
      <c r="GN49" s="433"/>
      <c r="GO49" s="433"/>
      <c r="GP49" s="433"/>
      <c r="GQ49" s="433"/>
      <c r="GR49" s="433"/>
      <c r="GS49" s="433"/>
      <c r="GT49" s="433"/>
      <c r="GU49" s="433"/>
      <c r="GV49" s="433"/>
      <c r="GW49" s="433"/>
      <c r="GX49" s="433"/>
      <c r="GY49" s="433"/>
      <c r="GZ49" s="433"/>
      <c r="HA49" s="433"/>
      <c r="HB49" s="433"/>
      <c r="HC49" s="433"/>
      <c r="HD49" s="433"/>
      <c r="HE49" s="433"/>
      <c r="HF49" s="433"/>
      <c r="HG49" s="433"/>
      <c r="HH49" s="433"/>
      <c r="HI49" s="433"/>
      <c r="HJ49" s="433"/>
      <c r="HK49" s="433"/>
      <c r="HL49" s="433"/>
      <c r="HM49" s="433"/>
    </row>
    <row r="50" spans="1:236" x14ac:dyDescent="0.2">
      <c r="A50" s="432" t="s">
        <v>216</v>
      </c>
      <c r="B50" s="433"/>
      <c r="C50" s="433"/>
      <c r="D50" s="460">
        <f>IF($C$15&lt;1,0,$C$15)</f>
        <v>0</v>
      </c>
      <c r="E50" s="461" t="s">
        <v>41</v>
      </c>
      <c r="F50" s="454" t="s">
        <v>8</v>
      </c>
      <c r="G50" s="493"/>
      <c r="H50" s="493"/>
      <c r="I50" s="494">
        <f>'Rider Rates'!B122</f>
        <v>-6.2E-4</v>
      </c>
      <c r="J50" s="494">
        <f>SUM(G50:I50)</f>
        <v>-6.2E-4</v>
      </c>
      <c r="K50" s="464" t="s">
        <v>42</v>
      </c>
      <c r="L50" s="250"/>
      <c r="M50" s="250"/>
      <c r="N50" s="250">
        <f>D50*J50</f>
        <v>0</v>
      </c>
      <c r="O50" s="250">
        <f>SUM(L50:N50)</f>
        <v>0</v>
      </c>
      <c r="P50" s="458">
        <f>'Rider Rates'!D122</f>
        <v>44531</v>
      </c>
      <c r="Q50" s="490"/>
      <c r="R50" s="505"/>
      <c r="S50" s="522"/>
      <c r="T50" s="510"/>
      <c r="U50" s="433"/>
      <c r="V50" s="52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c r="GD50" s="433"/>
      <c r="GE50" s="433"/>
      <c r="GF50" s="433"/>
      <c r="GG50" s="433"/>
      <c r="GH50" s="433"/>
      <c r="GI50" s="433"/>
      <c r="GJ50" s="433"/>
      <c r="GK50" s="433"/>
      <c r="GL50" s="433"/>
      <c r="GM50" s="433"/>
      <c r="GN50" s="433"/>
      <c r="GO50" s="433"/>
      <c r="GP50" s="433"/>
      <c r="GQ50" s="433"/>
      <c r="GR50" s="433"/>
      <c r="GS50" s="433"/>
      <c r="GT50" s="433"/>
      <c r="GU50" s="433"/>
      <c r="GV50" s="433"/>
      <c r="GW50" s="433"/>
      <c r="GX50" s="433"/>
      <c r="GY50" s="433"/>
      <c r="GZ50" s="433"/>
      <c r="HA50" s="433"/>
      <c r="HB50" s="433"/>
      <c r="HC50" s="433"/>
      <c r="HD50" s="433"/>
      <c r="HE50" s="433"/>
      <c r="HF50" s="433"/>
      <c r="HG50" s="433"/>
      <c r="HH50" s="433"/>
      <c r="HI50" s="433"/>
      <c r="HJ50" s="433"/>
      <c r="HK50" s="433"/>
      <c r="HL50" s="433"/>
      <c r="HM50" s="433"/>
    </row>
    <row r="51" spans="1:236" x14ac:dyDescent="0.2">
      <c r="A51" s="433" t="s">
        <v>241</v>
      </c>
      <c r="B51" s="433"/>
      <c r="C51" s="433"/>
      <c r="D51" s="460">
        <f>IF(C15&lt;0,0,IF(C15&gt;833000,833000,C15))</f>
        <v>0</v>
      </c>
      <c r="E51" s="461" t="s">
        <v>41</v>
      </c>
      <c r="F51" s="462" t="s">
        <v>8</v>
      </c>
      <c r="G51" s="495"/>
      <c r="H51" s="495"/>
      <c r="I51" s="495">
        <f>'Rider Rates'!$B$130</f>
        <v>2.9050000000000001E-4</v>
      </c>
      <c r="J51" s="495">
        <f>SUM(G51:I51)</f>
        <v>2.9050000000000001E-4</v>
      </c>
      <c r="K51" s="464" t="s">
        <v>42</v>
      </c>
      <c r="L51" s="496"/>
      <c r="M51" s="496"/>
      <c r="N51" s="496">
        <f>IF(D51*J51&gt;'Rider Rates'!$C$130,'Rider Rates'!$C$130,D51*J51)</f>
        <v>0</v>
      </c>
      <c r="O51" s="496">
        <f>SUM(L51:N51)</f>
        <v>0</v>
      </c>
      <c r="P51" s="497">
        <f>'Rider Rates'!$E$130</f>
        <v>45292</v>
      </c>
      <c r="Q51" s="490"/>
      <c r="R51" s="505"/>
      <c r="S51" s="522"/>
      <c r="T51" s="510"/>
      <c r="U51" s="433"/>
      <c r="V51" s="52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c r="GD51" s="433"/>
      <c r="GE51" s="433"/>
      <c r="GF51" s="433"/>
      <c r="GG51" s="433"/>
      <c r="GH51" s="433"/>
      <c r="GI51" s="433"/>
      <c r="GJ51" s="433"/>
      <c r="GK51" s="433"/>
      <c r="GL51" s="433"/>
      <c r="GM51" s="433"/>
      <c r="GN51" s="433"/>
      <c r="GO51" s="433"/>
      <c r="GP51" s="433"/>
      <c r="GQ51" s="433"/>
      <c r="GR51" s="433"/>
      <c r="GS51" s="433"/>
      <c r="GT51" s="433"/>
      <c r="GU51" s="433"/>
      <c r="GV51" s="433"/>
      <c r="GW51" s="433"/>
      <c r="GX51" s="433"/>
      <c r="GY51" s="433"/>
      <c r="GZ51" s="433"/>
      <c r="HA51" s="433"/>
      <c r="HB51" s="433"/>
      <c r="HC51" s="433"/>
      <c r="HD51" s="433"/>
      <c r="HE51" s="433"/>
      <c r="HF51" s="433"/>
      <c r="HG51" s="433"/>
      <c r="HH51" s="433"/>
      <c r="HI51" s="433"/>
      <c r="HJ51" s="433"/>
      <c r="HK51" s="433"/>
      <c r="HL51" s="433"/>
      <c r="HM51" s="433"/>
    </row>
    <row r="52" spans="1:236" x14ac:dyDescent="0.2">
      <c r="A52" s="433" t="s">
        <v>242</v>
      </c>
      <c r="B52" s="433"/>
      <c r="C52" s="433"/>
      <c r="D52" s="427">
        <f>IF(C15&gt;833000,C15-833000,0)</f>
        <v>0</v>
      </c>
      <c r="E52" s="461" t="s">
        <v>41</v>
      </c>
      <c r="F52" s="462" t="s">
        <v>8</v>
      </c>
      <c r="G52" s="495"/>
      <c r="H52" s="495"/>
      <c r="I52" s="495">
        <f>'Rider Rates'!$B$131</f>
        <v>0</v>
      </c>
      <c r="J52" s="495">
        <f>SUM(G52:I52)</f>
        <v>0</v>
      </c>
      <c r="K52" s="464" t="s">
        <v>42</v>
      </c>
      <c r="L52" s="496"/>
      <c r="M52" s="496"/>
      <c r="N52" s="496">
        <f>D52*J52</f>
        <v>0</v>
      </c>
      <c r="O52" s="496">
        <f>SUM(L52:N52)</f>
        <v>0</v>
      </c>
      <c r="P52" s="497">
        <f>'Rider Rates'!$E$131</f>
        <v>44927</v>
      </c>
      <c r="Q52" s="490"/>
      <c r="R52" s="505"/>
      <c r="S52" s="522"/>
      <c r="T52" s="510"/>
      <c r="U52" s="433"/>
      <c r="V52" s="52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c r="GD52" s="433"/>
      <c r="GE52" s="433"/>
      <c r="GF52" s="433"/>
      <c r="GG52" s="433"/>
      <c r="GH52" s="433"/>
      <c r="GI52" s="433"/>
      <c r="GJ52" s="433"/>
      <c r="GK52" s="433"/>
      <c r="GL52" s="433"/>
      <c r="GM52" s="433"/>
      <c r="GN52" s="433"/>
      <c r="GO52" s="433"/>
      <c r="GP52" s="433"/>
      <c r="GQ52" s="433"/>
      <c r="GR52" s="433"/>
      <c r="GS52" s="433"/>
      <c r="GT52" s="433"/>
      <c r="GU52" s="433"/>
      <c r="GV52" s="433"/>
      <c r="GW52" s="433"/>
      <c r="GX52" s="433"/>
      <c r="GY52" s="433"/>
      <c r="GZ52" s="433"/>
      <c r="HA52" s="433"/>
      <c r="HB52" s="433"/>
      <c r="HC52" s="433"/>
      <c r="HD52" s="433"/>
      <c r="HE52" s="433"/>
      <c r="HF52" s="433"/>
      <c r="HG52" s="433"/>
      <c r="HH52" s="433"/>
      <c r="HI52" s="433"/>
      <c r="HJ52" s="433"/>
      <c r="HK52" s="433"/>
      <c r="HL52" s="433"/>
      <c r="HM52" s="433"/>
    </row>
    <row r="53" spans="1:236" x14ac:dyDescent="0.2">
      <c r="A53" s="483" t="s">
        <v>250</v>
      </c>
      <c r="B53" s="433"/>
      <c r="C53" s="433"/>
      <c r="D53" s="460">
        <f>C15</f>
        <v>0</v>
      </c>
      <c r="E53" s="461" t="s">
        <v>41</v>
      </c>
      <c r="F53" s="454" t="s">
        <v>8</v>
      </c>
      <c r="G53" s="479"/>
      <c r="H53" s="479"/>
      <c r="I53" s="479">
        <f>'Rider Rates'!$B$135</f>
        <v>0</v>
      </c>
      <c r="J53" s="482">
        <f>SUM(G53:I53)</f>
        <v>0</v>
      </c>
      <c r="K53" s="464" t="s">
        <v>42</v>
      </c>
      <c r="L53" s="250"/>
      <c r="M53" s="250"/>
      <c r="N53" s="250">
        <f>D53*J53</f>
        <v>0</v>
      </c>
      <c r="O53" s="250">
        <f>SUM(L53:N53)</f>
        <v>0</v>
      </c>
      <c r="P53" s="458">
        <f>'Rider Rates'!$D$135</f>
        <v>44531</v>
      </c>
      <c r="Q53" s="490"/>
      <c r="R53" s="505"/>
      <c r="S53" s="522"/>
      <c r="T53" s="510"/>
      <c r="U53" s="433"/>
      <c r="V53" s="52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c r="GD53" s="433"/>
      <c r="GE53" s="433"/>
      <c r="GF53" s="433"/>
      <c r="GG53" s="433"/>
      <c r="GH53" s="433"/>
      <c r="GI53" s="433"/>
      <c r="GJ53" s="433"/>
      <c r="GK53" s="433"/>
      <c r="GL53" s="433"/>
      <c r="GM53" s="433"/>
      <c r="GN53" s="433"/>
      <c r="GO53" s="433"/>
      <c r="GP53" s="433"/>
      <c r="GQ53" s="433"/>
      <c r="GR53" s="433"/>
      <c r="GS53" s="433"/>
      <c r="GT53" s="433"/>
      <c r="GU53" s="433"/>
      <c r="GV53" s="433"/>
      <c r="GW53" s="433"/>
      <c r="GX53" s="433"/>
      <c r="GY53" s="433"/>
      <c r="GZ53" s="433"/>
      <c r="HA53" s="433"/>
      <c r="HB53" s="433"/>
      <c r="HC53" s="433"/>
      <c r="HD53" s="433"/>
      <c r="HE53" s="433"/>
      <c r="HF53" s="433"/>
      <c r="HG53" s="433"/>
      <c r="HH53" s="433"/>
      <c r="HI53" s="433"/>
      <c r="HJ53" s="433"/>
      <c r="HK53" s="433"/>
      <c r="HL53" s="433"/>
      <c r="HM53" s="433"/>
    </row>
    <row r="54" spans="1:236" x14ac:dyDescent="0.2">
      <c r="A54" s="483" t="s">
        <v>249</v>
      </c>
      <c r="B54" s="433"/>
      <c r="C54" s="433"/>
      <c r="D54" s="460"/>
      <c r="E54" s="461" t="s">
        <v>114</v>
      </c>
      <c r="F54" s="462" t="s">
        <v>8</v>
      </c>
      <c r="G54" s="463"/>
      <c r="H54" s="463"/>
      <c r="I54" s="463">
        <f>'Rider Rates'!$B$142</f>
        <v>0</v>
      </c>
      <c r="J54" s="463">
        <f>SUM(G54:I54)</f>
        <v>0</v>
      </c>
      <c r="K54" s="464"/>
      <c r="L54" s="457"/>
      <c r="M54" s="457"/>
      <c r="N54" s="457">
        <f>J54</f>
        <v>0</v>
      </c>
      <c r="O54" s="457">
        <f>SUM(L54:N54)</f>
        <v>0</v>
      </c>
      <c r="P54" s="497">
        <f>'Rider Rates'!$D$142</f>
        <v>44531</v>
      </c>
      <c r="Q54" s="490"/>
      <c r="R54" s="505"/>
      <c r="S54" s="522"/>
      <c r="T54" s="510"/>
      <c r="U54" s="433"/>
      <c r="V54" s="52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c r="GD54" s="433"/>
      <c r="GE54" s="433"/>
      <c r="GF54" s="433"/>
      <c r="GG54" s="433"/>
      <c r="GH54" s="433"/>
      <c r="GI54" s="433"/>
      <c r="GJ54" s="433"/>
      <c r="GK54" s="433"/>
      <c r="GL54" s="433"/>
      <c r="GM54" s="433"/>
      <c r="GN54" s="433"/>
      <c r="GO54" s="433"/>
      <c r="GP54" s="433"/>
      <c r="GQ54" s="433"/>
      <c r="GR54" s="433"/>
      <c r="GS54" s="433"/>
      <c r="GT54" s="433"/>
      <c r="GU54" s="433"/>
      <c r="GV54" s="433"/>
      <c r="GW54" s="433"/>
      <c r="GX54" s="433"/>
      <c r="GY54" s="433"/>
      <c r="GZ54" s="433"/>
      <c r="HA54" s="433"/>
      <c r="HB54" s="433"/>
      <c r="HC54" s="433"/>
      <c r="HD54" s="433"/>
      <c r="HE54" s="433"/>
      <c r="HF54" s="433"/>
      <c r="HG54" s="433"/>
      <c r="HH54" s="433"/>
      <c r="HI54" s="433"/>
      <c r="HJ54" s="433"/>
      <c r="HK54" s="433"/>
      <c r="HL54" s="433"/>
      <c r="HM54" s="433"/>
    </row>
    <row r="55" spans="1:236" x14ac:dyDescent="0.2">
      <c r="A55" s="483" t="s">
        <v>251</v>
      </c>
      <c r="B55" s="433"/>
      <c r="C55" s="433"/>
      <c r="D55" s="460"/>
      <c r="E55" s="461"/>
      <c r="F55" s="462"/>
      <c r="G55" s="463"/>
      <c r="H55" s="463"/>
      <c r="I55" s="463"/>
      <c r="J55" s="463"/>
      <c r="K55" s="464"/>
      <c r="L55" s="457"/>
      <c r="M55" s="457"/>
      <c r="N55" s="457"/>
      <c r="O55" s="457"/>
      <c r="P55" s="497"/>
      <c r="Q55" s="490"/>
      <c r="R55" s="505"/>
      <c r="S55" s="522"/>
      <c r="T55" s="510"/>
      <c r="U55" s="433"/>
      <c r="V55" s="523"/>
      <c r="W55" s="433"/>
      <c r="X55" s="433"/>
      <c r="Y55" s="433"/>
      <c r="Z55" s="433"/>
      <c r="AA55" s="433"/>
      <c r="AB55" s="433"/>
      <c r="AC55" s="433"/>
      <c r="AD55" s="433"/>
      <c r="AE55" s="433"/>
      <c r="AF55" s="433"/>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c r="GD55" s="433"/>
      <c r="GE55" s="433"/>
      <c r="GF55" s="433"/>
      <c r="GG55" s="433"/>
      <c r="GH55" s="433"/>
      <c r="GI55" s="433"/>
      <c r="GJ55" s="433"/>
      <c r="GK55" s="433"/>
      <c r="GL55" s="433"/>
      <c r="GM55" s="433"/>
      <c r="GN55" s="433"/>
      <c r="GO55" s="433"/>
      <c r="GP55" s="433"/>
      <c r="GQ55" s="433"/>
      <c r="GR55" s="433"/>
      <c r="GS55" s="433"/>
      <c r="GT55" s="433"/>
      <c r="GU55" s="433"/>
      <c r="GV55" s="433"/>
      <c r="GW55" s="433"/>
      <c r="GX55" s="433"/>
      <c r="GY55" s="433"/>
      <c r="GZ55" s="433"/>
      <c r="HA55" s="433"/>
      <c r="HB55" s="433"/>
      <c r="HC55" s="433"/>
      <c r="HD55" s="433"/>
      <c r="HE55" s="433"/>
      <c r="HF55" s="433"/>
      <c r="HG55" s="433"/>
      <c r="HH55" s="433"/>
      <c r="HI55" s="433"/>
      <c r="HJ55" s="433"/>
      <c r="HK55" s="433"/>
      <c r="HL55" s="433"/>
      <c r="HM55" s="433"/>
    </row>
    <row r="56" spans="1:236" x14ac:dyDescent="0.2">
      <c r="A56" s="498" t="s">
        <v>70</v>
      </c>
      <c r="B56" s="472"/>
      <c r="C56" s="472"/>
      <c r="D56" s="499"/>
      <c r="E56" s="500"/>
      <c r="F56" s="501"/>
      <c r="G56" s="501"/>
      <c r="H56" s="501"/>
      <c r="I56" s="501"/>
      <c r="J56" s="501"/>
      <c r="K56" s="502"/>
      <c r="L56" s="503">
        <f>SUM(L27:L55)</f>
        <v>0</v>
      </c>
      <c r="M56" s="503">
        <f>SUM(M27:M55)</f>
        <v>0</v>
      </c>
      <c r="N56" s="503">
        <f>SUM(N27:N55)</f>
        <v>271.48999999999995</v>
      </c>
      <c r="O56" s="503">
        <f>SUM(O27:O55)</f>
        <v>271.48999999999995</v>
      </c>
      <c r="P56" s="504"/>
      <c r="Q56" s="490"/>
      <c r="R56" s="505"/>
      <c r="S56" s="522"/>
      <c r="T56" s="510"/>
      <c r="U56" s="433"/>
      <c r="V56" s="523"/>
      <c r="W56" s="433"/>
      <c r="X56" s="433"/>
      <c r="Y56" s="433"/>
      <c r="Z56" s="433"/>
      <c r="AA56" s="433"/>
      <c r="AB56" s="433"/>
      <c r="AC56" s="433"/>
      <c r="AD56" s="433"/>
      <c r="AE56" s="433"/>
      <c r="AF56" s="433"/>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c r="GD56" s="433"/>
      <c r="GE56" s="433"/>
      <c r="GF56" s="433"/>
      <c r="GG56" s="433"/>
      <c r="GH56" s="433"/>
      <c r="GI56" s="433"/>
      <c r="GJ56" s="433"/>
      <c r="GK56" s="433"/>
      <c r="GL56" s="433"/>
      <c r="GM56" s="433"/>
      <c r="GN56" s="433"/>
      <c r="GO56" s="433"/>
      <c r="GP56" s="433"/>
      <c r="GQ56" s="433"/>
      <c r="GR56" s="433"/>
      <c r="GS56" s="433"/>
      <c r="GT56" s="433"/>
      <c r="GU56" s="433"/>
      <c r="GV56" s="433"/>
      <c r="GW56" s="433"/>
      <c r="GX56" s="433"/>
      <c r="GY56" s="433"/>
      <c r="GZ56" s="433"/>
      <c r="HA56" s="433"/>
      <c r="HB56" s="433"/>
      <c r="HC56" s="433"/>
      <c r="HD56" s="433"/>
      <c r="HE56" s="433"/>
      <c r="HF56" s="433"/>
      <c r="HG56" s="433"/>
      <c r="HH56" s="433"/>
      <c r="HI56" s="433"/>
      <c r="HJ56" s="433"/>
      <c r="HK56" s="433"/>
      <c r="HL56" s="433"/>
      <c r="HM56" s="433"/>
    </row>
    <row r="57" spans="1:236" x14ac:dyDescent="0.2">
      <c r="A57" s="433"/>
      <c r="B57" s="433"/>
      <c r="C57" s="433"/>
      <c r="D57" s="460"/>
      <c r="E57" s="484"/>
      <c r="F57" s="490"/>
      <c r="G57" s="490"/>
      <c r="H57" s="490"/>
      <c r="I57" s="490"/>
      <c r="J57" s="505"/>
      <c r="K57" s="464"/>
      <c r="L57" s="490"/>
      <c r="M57" s="490"/>
      <c r="N57" s="490"/>
      <c r="O57" s="490"/>
      <c r="P57" s="506"/>
      <c r="Q57" s="490"/>
      <c r="R57" s="505"/>
      <c r="S57" s="522"/>
      <c r="T57" s="510"/>
      <c r="U57" s="433"/>
      <c r="V57" s="523"/>
      <c r="W57" s="433"/>
      <c r="X57" s="433"/>
      <c r="Y57" s="433"/>
      <c r="Z57" s="433"/>
      <c r="AA57" s="433"/>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c r="GD57" s="433"/>
      <c r="GE57" s="433"/>
      <c r="GF57" s="433"/>
      <c r="GG57" s="433"/>
      <c r="GH57" s="433"/>
      <c r="GI57" s="433"/>
      <c r="GJ57" s="433"/>
      <c r="GK57" s="433"/>
      <c r="GL57" s="433"/>
      <c r="GM57" s="433"/>
      <c r="GN57" s="433"/>
      <c r="GO57" s="433"/>
      <c r="GP57" s="433"/>
      <c r="GQ57" s="433"/>
      <c r="GR57" s="433"/>
      <c r="GS57" s="433"/>
      <c r="GT57" s="433"/>
      <c r="GU57" s="433"/>
      <c r="GV57" s="433"/>
      <c r="GW57" s="433"/>
      <c r="GX57" s="433"/>
      <c r="GY57" s="433"/>
      <c r="GZ57" s="433"/>
      <c r="HA57" s="433"/>
      <c r="HB57" s="433"/>
      <c r="HC57" s="433"/>
      <c r="HD57" s="433"/>
      <c r="HE57" s="433"/>
      <c r="HF57" s="433"/>
      <c r="HG57" s="433"/>
      <c r="HH57" s="433"/>
      <c r="HI57" s="433"/>
      <c r="HJ57" s="433"/>
      <c r="HK57" s="433"/>
      <c r="HL57" s="433"/>
      <c r="HM57" s="433"/>
    </row>
    <row r="58" spans="1:236" x14ac:dyDescent="0.2">
      <c r="A58" s="507" t="s">
        <v>93</v>
      </c>
      <c r="B58" s="442"/>
      <c r="C58" s="442"/>
      <c r="D58" s="442"/>
      <c r="E58" s="442"/>
      <c r="F58" s="442"/>
      <c r="G58" s="442"/>
      <c r="H58" s="442"/>
      <c r="I58" s="442"/>
      <c r="J58" s="442"/>
      <c r="K58" s="442"/>
      <c r="L58" s="508">
        <f>L23+L56</f>
        <v>0</v>
      </c>
      <c r="M58" s="508">
        <f>M23+M56</f>
        <v>0</v>
      </c>
      <c r="N58" s="508">
        <f>N23+N56</f>
        <v>1096.49</v>
      </c>
      <c r="O58" s="509">
        <f>O23+O56</f>
        <v>1096.49</v>
      </c>
      <c r="P58" s="509"/>
      <c r="Q58" s="490"/>
      <c r="R58" s="524"/>
      <c r="S58" s="522"/>
      <c r="T58" s="510"/>
      <c r="U58" s="433"/>
      <c r="V58" s="522"/>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c r="GD58" s="433"/>
      <c r="GE58" s="433"/>
      <c r="GF58" s="433"/>
      <c r="GG58" s="433"/>
      <c r="GH58" s="433"/>
      <c r="GI58" s="433"/>
      <c r="GJ58" s="433"/>
      <c r="GK58" s="433"/>
      <c r="GL58" s="433"/>
      <c r="GM58" s="433"/>
      <c r="GN58" s="433"/>
      <c r="GO58" s="433"/>
      <c r="GP58" s="433"/>
      <c r="GQ58" s="433"/>
      <c r="GR58" s="433"/>
      <c r="GS58" s="433"/>
      <c r="GT58" s="433"/>
      <c r="GU58" s="433"/>
      <c r="GV58" s="433"/>
      <c r="GW58" s="433"/>
      <c r="GX58" s="433"/>
      <c r="GY58" s="433"/>
      <c r="GZ58" s="433"/>
      <c r="HA58" s="433"/>
      <c r="HB58" s="433"/>
      <c r="HC58" s="433"/>
      <c r="HD58" s="433"/>
      <c r="HE58" s="433"/>
      <c r="HF58" s="433"/>
      <c r="HG58" s="433"/>
      <c r="HH58" s="433"/>
      <c r="HI58" s="433"/>
      <c r="HJ58" s="433"/>
      <c r="HK58" s="433"/>
      <c r="HL58" s="433"/>
      <c r="HM58" s="433"/>
    </row>
    <row r="59" spans="1:236" x14ac:dyDescent="0.2">
      <c r="A59" s="433"/>
      <c r="B59" s="433"/>
      <c r="C59" s="433"/>
      <c r="D59" s="433"/>
      <c r="E59" s="433"/>
      <c r="F59" s="433"/>
      <c r="G59" s="433"/>
      <c r="H59" s="433"/>
      <c r="I59" s="433"/>
      <c r="J59" s="433"/>
      <c r="K59" s="433"/>
      <c r="L59" s="433"/>
      <c r="M59" s="433"/>
      <c r="Q59" s="473"/>
      <c r="R59" s="473"/>
      <c r="S59" s="473"/>
      <c r="T59" s="525"/>
      <c r="U59" s="433"/>
      <c r="V59" s="433"/>
      <c r="W59" s="433"/>
      <c r="X59" s="433"/>
      <c r="Y59" s="433"/>
      <c r="Z59" s="433"/>
      <c r="AA59" s="433"/>
      <c r="AB59" s="433"/>
      <c r="AC59" s="433"/>
      <c r="AD59" s="433"/>
      <c r="AE59" s="433"/>
      <c r="AF59" s="433"/>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c r="GD59" s="433"/>
      <c r="GE59" s="433"/>
      <c r="GF59" s="433"/>
      <c r="GG59" s="433"/>
      <c r="GH59" s="433"/>
      <c r="GI59" s="433"/>
      <c r="GJ59" s="433"/>
      <c r="GK59" s="433"/>
      <c r="GL59" s="433"/>
      <c r="GM59" s="433"/>
      <c r="GN59" s="433"/>
      <c r="GO59" s="433"/>
      <c r="GP59" s="433"/>
      <c r="GQ59" s="433"/>
      <c r="GR59" s="433"/>
      <c r="GS59" s="433"/>
      <c r="GT59" s="433"/>
      <c r="GU59" s="433"/>
      <c r="GV59" s="433"/>
      <c r="GW59" s="433"/>
      <c r="GX59" s="433"/>
      <c r="GY59" s="433"/>
      <c r="GZ59" s="433"/>
      <c r="HA59" s="433"/>
      <c r="HB59" s="433"/>
      <c r="HC59" s="433"/>
      <c r="HD59" s="433"/>
      <c r="HE59" s="433"/>
      <c r="HF59" s="433"/>
      <c r="HG59" s="433"/>
      <c r="HH59" s="433"/>
      <c r="HI59" s="433"/>
      <c r="HJ59" s="433"/>
      <c r="HK59" s="433"/>
      <c r="HL59" s="433"/>
      <c r="HM59" s="433"/>
    </row>
    <row r="60" spans="1:236" x14ac:dyDescent="0.2">
      <c r="A60" s="433"/>
      <c r="B60" s="433"/>
      <c r="C60" s="433"/>
      <c r="D60" s="433"/>
      <c r="E60" s="433"/>
      <c r="F60" s="433"/>
      <c r="G60" s="433"/>
      <c r="H60" s="433"/>
      <c r="I60" s="433"/>
      <c r="J60" s="433"/>
      <c r="K60" s="433"/>
      <c r="L60" s="433"/>
      <c r="M60" s="433"/>
      <c r="Q60" s="473"/>
      <c r="R60" s="473"/>
      <c r="S60" s="473"/>
      <c r="T60" s="525"/>
      <c r="U60" s="433"/>
      <c r="V60" s="433"/>
      <c r="W60" s="433"/>
      <c r="X60" s="433"/>
      <c r="Y60" s="433"/>
      <c r="Z60" s="433"/>
      <c r="AA60" s="433"/>
      <c r="AB60" s="433"/>
      <c r="AC60" s="433"/>
      <c r="AD60" s="433"/>
      <c r="AE60" s="433"/>
      <c r="AF60" s="433"/>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c r="GD60" s="433"/>
      <c r="GE60" s="433"/>
      <c r="GF60" s="433"/>
      <c r="GG60" s="433"/>
      <c r="GH60" s="433"/>
      <c r="GI60" s="433"/>
      <c r="GJ60" s="433"/>
      <c r="GK60" s="433"/>
      <c r="GL60" s="433"/>
      <c r="GM60" s="433"/>
      <c r="GN60" s="433"/>
      <c r="GO60" s="433"/>
      <c r="GP60" s="433"/>
      <c r="GQ60" s="433"/>
      <c r="GR60" s="433"/>
      <c r="GS60" s="433"/>
      <c r="GT60" s="433"/>
      <c r="GU60" s="433"/>
      <c r="GV60" s="433"/>
      <c r="GW60" s="433"/>
      <c r="GX60" s="433"/>
      <c r="GY60" s="433"/>
      <c r="GZ60" s="433"/>
      <c r="HA60" s="433"/>
      <c r="HB60" s="433"/>
      <c r="HC60" s="433"/>
      <c r="HD60" s="433"/>
      <c r="HE60" s="433"/>
      <c r="HF60" s="433"/>
      <c r="HG60" s="433"/>
      <c r="HH60" s="433"/>
      <c r="HI60" s="433"/>
      <c r="HJ60" s="433"/>
      <c r="HK60" s="433"/>
      <c r="HL60" s="433"/>
      <c r="HM60" s="433"/>
    </row>
    <row r="61" spans="1:236" x14ac:dyDescent="0.2">
      <c r="A61" s="473" t="s">
        <v>92</v>
      </c>
      <c r="B61" s="433"/>
      <c r="C61" s="433"/>
      <c r="D61" s="433"/>
      <c r="E61" s="433"/>
      <c r="F61" s="433"/>
      <c r="G61" s="433"/>
      <c r="H61" s="433"/>
      <c r="I61" s="433"/>
      <c r="J61" s="433"/>
      <c r="K61" s="433"/>
      <c r="L61" s="433"/>
      <c r="M61" s="433"/>
      <c r="N61" s="433"/>
      <c r="O61" s="510">
        <f>O21+O56</f>
        <v>1096.49</v>
      </c>
      <c r="Q61" s="473"/>
      <c r="R61" s="473"/>
      <c r="S61" s="473"/>
      <c r="T61" s="525"/>
      <c r="U61" s="433"/>
      <c r="V61" s="433"/>
      <c r="W61" s="433"/>
      <c r="X61" s="433"/>
      <c r="Y61" s="433"/>
      <c r="Z61" s="433"/>
      <c r="AA61" s="433"/>
      <c r="AB61" s="433"/>
      <c r="AC61" s="433"/>
      <c r="AD61" s="433"/>
      <c r="AE61" s="433"/>
      <c r="AF61" s="433"/>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c r="GD61" s="433"/>
      <c r="GE61" s="433"/>
      <c r="GF61" s="433"/>
      <c r="GG61" s="433"/>
      <c r="GH61" s="433"/>
      <c r="GI61" s="433"/>
      <c r="GJ61" s="433"/>
      <c r="GK61" s="433"/>
      <c r="GL61" s="433"/>
      <c r="GM61" s="433"/>
      <c r="GN61" s="433"/>
      <c r="GO61" s="433"/>
      <c r="GP61" s="433"/>
      <c r="GQ61" s="433"/>
      <c r="GR61" s="433"/>
      <c r="GS61" s="433"/>
      <c r="GT61" s="433"/>
      <c r="GU61" s="433"/>
      <c r="GV61" s="433"/>
      <c r="GW61" s="433"/>
      <c r="GX61" s="433"/>
      <c r="GY61" s="433"/>
      <c r="GZ61" s="433"/>
      <c r="HA61" s="433"/>
      <c r="HB61" s="433"/>
      <c r="HC61" s="433"/>
      <c r="HD61" s="433"/>
      <c r="HE61" s="433"/>
      <c r="HF61" s="433"/>
      <c r="HG61" s="433"/>
      <c r="HH61" s="433"/>
      <c r="HI61" s="433"/>
      <c r="HJ61" s="433"/>
      <c r="HK61" s="433"/>
      <c r="HL61" s="433"/>
      <c r="HM61" s="433"/>
    </row>
    <row r="62" spans="1:236" x14ac:dyDescent="0.2">
      <c r="A62" s="473" t="s">
        <v>15</v>
      </c>
      <c r="B62" s="473"/>
      <c r="C62" s="473"/>
      <c r="D62" s="473"/>
      <c r="E62" s="473"/>
      <c r="F62" s="473"/>
      <c r="G62" s="473"/>
      <c r="H62" s="473"/>
      <c r="I62" s="433"/>
      <c r="J62" s="433"/>
      <c r="K62" s="433"/>
      <c r="L62" s="433"/>
      <c r="M62" s="433"/>
      <c r="Q62" s="433"/>
      <c r="R62" s="433"/>
      <c r="S62" s="433"/>
      <c r="T62" s="433"/>
      <c r="U62" s="433"/>
      <c r="V62" s="433"/>
      <c r="W62" s="433"/>
      <c r="X62" s="433"/>
      <c r="Y62" s="433"/>
      <c r="Z62" s="433"/>
      <c r="AA62" s="433"/>
      <c r="AB62" s="433"/>
      <c r="AC62" s="433"/>
      <c r="AD62" s="433"/>
      <c r="AE62" s="433"/>
      <c r="AF62" s="433"/>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c r="GD62" s="433"/>
      <c r="GE62" s="433"/>
      <c r="GF62" s="433"/>
      <c r="GG62" s="433"/>
      <c r="GH62" s="433"/>
      <c r="GI62" s="433"/>
      <c r="GJ62" s="433"/>
      <c r="GK62" s="433"/>
      <c r="GL62" s="433"/>
      <c r="GM62" s="433"/>
      <c r="GN62" s="433"/>
      <c r="GO62" s="433"/>
      <c r="GP62" s="433"/>
      <c r="GQ62" s="433"/>
      <c r="GR62" s="433"/>
      <c r="GS62" s="433"/>
      <c r="GT62" s="433"/>
      <c r="GU62" s="433"/>
      <c r="GV62" s="433"/>
      <c r="GW62" s="433"/>
      <c r="GX62" s="433"/>
      <c r="GY62" s="433"/>
      <c r="GZ62" s="433"/>
      <c r="HA62" s="433"/>
      <c r="HB62" s="433"/>
      <c r="HC62" s="433"/>
      <c r="HD62" s="433"/>
      <c r="HE62" s="433"/>
      <c r="HF62" s="433"/>
      <c r="HG62" s="433"/>
      <c r="HH62" s="433"/>
      <c r="HI62" s="433"/>
      <c r="HJ62" s="433"/>
      <c r="HK62" s="433"/>
      <c r="HL62" s="433"/>
      <c r="HM62" s="433"/>
    </row>
    <row r="63" spans="1:236" x14ac:dyDescent="0.2">
      <c r="A63" s="472" t="s">
        <v>116</v>
      </c>
      <c r="O63" s="511">
        <f>IF($D$17&lt;0,O58,IF(O58&gt;O61,O58,O61))</f>
        <v>1096.49</v>
      </c>
      <c r="P63" s="475"/>
      <c r="Q63" s="433"/>
      <c r="R63" s="433"/>
      <c r="S63" s="433"/>
      <c r="T63" s="433"/>
      <c r="U63" s="433"/>
      <c r="V63" s="433"/>
      <c r="W63" s="433"/>
      <c r="X63" s="433"/>
      <c r="Y63" s="433"/>
      <c r="Z63" s="433"/>
      <c r="AA63" s="433"/>
      <c r="AB63" s="433"/>
      <c r="AC63" s="433"/>
      <c r="AD63" s="433"/>
      <c r="AE63" s="433"/>
      <c r="AF63" s="433"/>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c r="GD63" s="433"/>
      <c r="GE63" s="433"/>
      <c r="GF63" s="433"/>
      <c r="GG63" s="433"/>
      <c r="GH63" s="433"/>
      <c r="GI63" s="433"/>
      <c r="GJ63" s="433"/>
      <c r="GK63" s="433"/>
      <c r="GL63" s="433"/>
      <c r="GM63" s="433"/>
      <c r="GN63" s="433"/>
      <c r="GO63" s="433"/>
      <c r="GP63" s="433"/>
      <c r="GQ63" s="433"/>
      <c r="GR63" s="433"/>
      <c r="GS63" s="433"/>
      <c r="GT63" s="433"/>
      <c r="GU63" s="433"/>
      <c r="GV63" s="433"/>
      <c r="GW63" s="433"/>
      <c r="GX63" s="433"/>
      <c r="GY63" s="433"/>
      <c r="GZ63" s="433"/>
      <c r="HA63" s="433"/>
      <c r="HB63" s="433"/>
      <c r="HC63" s="433"/>
      <c r="HD63" s="433"/>
      <c r="HE63" s="433"/>
      <c r="HF63" s="433"/>
      <c r="HG63" s="433"/>
      <c r="HH63" s="433"/>
      <c r="HI63" s="433"/>
      <c r="HJ63" s="433"/>
      <c r="HK63" s="433"/>
      <c r="HL63" s="433"/>
      <c r="HM63" s="433"/>
    </row>
    <row r="64" spans="1:236" ht="15" customHeight="1" x14ac:dyDescent="0.2">
      <c r="A64" s="472"/>
      <c r="O64" s="511"/>
      <c r="P64" s="475"/>
      <c r="Q64" s="433"/>
      <c r="R64" s="433"/>
      <c r="S64" s="433"/>
      <c r="T64" s="433"/>
      <c r="U64" s="433"/>
      <c r="V64" s="433"/>
      <c r="W64" s="433"/>
      <c r="X64" s="433"/>
      <c r="Y64" s="433"/>
      <c r="Z64" s="433"/>
      <c r="AA64" s="433"/>
      <c r="AB64" s="433"/>
      <c r="AC64" s="433"/>
      <c r="AD64" s="433"/>
      <c r="AE64" s="433"/>
      <c r="AF64" s="433"/>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c r="GD64" s="433"/>
      <c r="GE64" s="433"/>
      <c r="GF64" s="433"/>
      <c r="GG64" s="433"/>
      <c r="GH64" s="433"/>
      <c r="GI64" s="433"/>
      <c r="GJ64" s="433"/>
      <c r="GK64" s="433"/>
      <c r="GL64" s="433"/>
      <c r="GM64" s="433"/>
      <c r="GN64" s="433"/>
      <c r="GO64" s="433"/>
      <c r="GP64" s="433"/>
      <c r="GQ64" s="433"/>
      <c r="GR64" s="433"/>
      <c r="GS64" s="433"/>
      <c r="GT64" s="433"/>
      <c r="GU64" s="433"/>
      <c r="GV64" s="433"/>
      <c r="GW64" s="433"/>
      <c r="GX64" s="433"/>
      <c r="GY64" s="433"/>
      <c r="GZ64" s="433"/>
      <c r="HA64" s="433"/>
      <c r="HB64" s="433"/>
      <c r="HC64" s="433"/>
      <c r="HD64" s="433"/>
      <c r="HE64" s="433"/>
      <c r="HF64" s="433"/>
      <c r="HG64" s="433"/>
      <c r="HH64" s="433"/>
      <c r="HI64" s="433"/>
      <c r="HJ64" s="433"/>
      <c r="HK64" s="433"/>
      <c r="HL64" s="433"/>
      <c r="HM64" s="433"/>
      <c r="HN64" s="433"/>
      <c r="HO64" s="433"/>
      <c r="HP64" s="433"/>
      <c r="HQ64" s="433"/>
      <c r="HR64" s="433"/>
      <c r="HS64" s="433"/>
      <c r="HT64" s="433"/>
      <c r="HU64" s="433"/>
      <c r="HV64" s="433"/>
      <c r="HW64" s="433"/>
      <c r="HX64" s="433"/>
      <c r="HY64" s="433"/>
      <c r="HZ64" s="433"/>
      <c r="IA64" s="433"/>
      <c r="IB64" s="433"/>
    </row>
    <row r="65" spans="1:222" x14ac:dyDescent="0.2">
      <c r="A65" s="472"/>
      <c r="B65" s="473"/>
      <c r="C65" s="473"/>
      <c r="D65" s="473"/>
      <c r="E65" s="473"/>
      <c r="F65" s="473"/>
      <c r="G65" s="473"/>
      <c r="H65" s="473"/>
      <c r="I65" s="473" t="s">
        <v>120</v>
      </c>
      <c r="J65" s="473"/>
      <c r="K65" s="473"/>
      <c r="L65" s="512"/>
      <c r="M65" s="512"/>
      <c r="N65" s="512"/>
      <c r="O65" s="512">
        <f>ROUND(IF($C$15&lt;1,0,O58/($C$15*100)*10000),2)</f>
        <v>0</v>
      </c>
      <c r="P65" s="465" t="s">
        <v>86</v>
      </c>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3"/>
      <c r="AN65" s="433"/>
      <c r="AO65" s="433"/>
      <c r="AP65" s="433"/>
      <c r="AQ65" s="433"/>
      <c r="AR65" s="433"/>
      <c r="AS65" s="433"/>
      <c r="AT65" s="433"/>
      <c r="HE65" s="433"/>
      <c r="HF65" s="433"/>
      <c r="HG65" s="433"/>
      <c r="HH65" s="433"/>
      <c r="HI65" s="433"/>
      <c r="HJ65" s="433"/>
      <c r="HK65" s="433"/>
      <c r="HL65" s="433"/>
      <c r="HM65" s="433"/>
      <c r="HN65" s="433"/>
    </row>
    <row r="66" spans="1:222" x14ac:dyDescent="0.2">
      <c r="B66" s="433"/>
      <c r="C66" s="433"/>
      <c r="D66" s="433"/>
      <c r="E66" s="433"/>
      <c r="F66" s="433"/>
      <c r="G66" s="433"/>
      <c r="H66" s="513"/>
      <c r="I66" s="514" t="s">
        <v>198</v>
      </c>
      <c r="J66" s="433"/>
      <c r="K66" s="433"/>
      <c r="L66" s="433"/>
      <c r="M66" s="433"/>
      <c r="N66" s="433"/>
      <c r="O66" s="515">
        <f>ROUND(IF($C$15&lt;1,0,(L58)/($C$15*100)*10000),2)</f>
        <v>0</v>
      </c>
      <c r="P66" s="436" t="s">
        <v>86</v>
      </c>
      <c r="Q66" s="433"/>
      <c r="R66" s="433"/>
      <c r="S66" s="433"/>
      <c r="T66" s="433"/>
      <c r="U66" s="433"/>
      <c r="V66" s="433"/>
      <c r="W66" s="433"/>
      <c r="X66" s="433"/>
      <c r="Y66" s="433"/>
      <c r="Z66" s="433"/>
      <c r="AA66" s="433"/>
      <c r="AB66" s="433"/>
      <c r="AC66" s="433"/>
      <c r="AD66" s="433"/>
      <c r="AE66" s="433"/>
      <c r="AF66" s="433"/>
      <c r="AG66" s="433"/>
      <c r="AH66" s="433"/>
      <c r="AI66" s="433"/>
      <c r="AJ66" s="433"/>
      <c r="AK66" s="433"/>
    </row>
  </sheetData>
  <sheetProtection algorithmName="SHA-512" hashValue="fzIJMX3S/VkxTOU8jCvRoMA6ema+k22C5OhkQ2cymdFMdkNDL9r8l66W+WLp3UW+yU3VZioWBPiPXXf0DckH9g==" saltValue="uILkBQiLWQMELepqDpntP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2993"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212994" r:id="rId4" name="Button 2">
              <controlPr defaultSize="0" print="0" autoFill="0" autoPict="0" macro="[0]!Info">
                <anchor moveWithCells="1">
                  <from>
                    <xdr:col>15</xdr:col>
                    <xdr:colOff>190500</xdr:colOff>
                    <xdr:row>73</xdr:row>
                    <xdr:rowOff>47625</xdr:rowOff>
                  </from>
                  <to>
                    <xdr:col>15</xdr:col>
                    <xdr:colOff>542925</xdr:colOff>
                    <xdr:row>74</xdr:row>
                    <xdr:rowOff>104775</xdr:rowOff>
                  </to>
                </anchor>
              </controlPr>
            </control>
          </mc:Choice>
        </mc:AlternateContent>
        <mc:AlternateContent xmlns:mc="http://schemas.openxmlformats.org/markup-compatibility/2006">
          <mc:Choice Requires="x14">
            <control shapeId="212995"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212996"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212997"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212998"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J151"/>
  <sheetViews>
    <sheetView topLeftCell="A73" workbookViewId="0">
      <selection activeCell="N103" sqref="N103"/>
    </sheetView>
  </sheetViews>
  <sheetFormatPr defaultRowHeight="12.75" x14ac:dyDescent="0.2"/>
  <cols>
    <col min="1" max="1" width="70.140625" bestFit="1" customWidth="1"/>
    <col min="2" max="2" width="13.42578125" style="18" bestFit="1" customWidth="1"/>
    <col min="3" max="3" width="12.42578125" style="18" customWidth="1"/>
    <col min="4" max="4" width="13.5703125" style="18" bestFit="1" customWidth="1"/>
    <col min="5" max="5" width="11.5703125" style="18" bestFit="1" customWidth="1"/>
    <col min="6" max="6" width="14.85546875" style="18" customWidth="1"/>
    <col min="7" max="7" width="15.5703125" style="18" customWidth="1"/>
    <col min="8" max="8" width="11.5703125" bestFit="1" customWidth="1"/>
  </cols>
  <sheetData>
    <row r="1" spans="1:10" x14ac:dyDescent="0.2">
      <c r="A1" s="79" t="s">
        <v>133</v>
      </c>
      <c r="B1" s="384" t="s">
        <v>1</v>
      </c>
      <c r="C1" s="384"/>
      <c r="D1" s="384" t="s">
        <v>7</v>
      </c>
      <c r="E1" s="384" t="s">
        <v>1</v>
      </c>
      <c r="F1" s="384" t="s">
        <v>7</v>
      </c>
    </row>
    <row r="3" spans="1:10" x14ac:dyDescent="0.2">
      <c r="A3" s="25" t="s">
        <v>136</v>
      </c>
      <c r="B3" s="276"/>
      <c r="C3" s="276"/>
    </row>
    <row r="4" spans="1:10" x14ac:dyDescent="0.2">
      <c r="A4" s="145" t="s">
        <v>134</v>
      </c>
      <c r="B4" s="276">
        <v>5.9216E-3</v>
      </c>
      <c r="C4" s="385"/>
      <c r="D4" s="271">
        <v>45293</v>
      </c>
    </row>
    <row r="5" spans="1:10" x14ac:dyDescent="0.2">
      <c r="A5" s="145" t="s">
        <v>135</v>
      </c>
      <c r="B5" s="276">
        <v>1.7560000000000001E-4</v>
      </c>
      <c r="C5" s="385"/>
      <c r="D5" s="271">
        <v>44925</v>
      </c>
    </row>
    <row r="6" spans="1:10" x14ac:dyDescent="0.2">
      <c r="B6" s="276"/>
      <c r="C6" s="276"/>
      <c r="D6" s="276"/>
    </row>
    <row r="7" spans="1:10" x14ac:dyDescent="0.2">
      <c r="A7" s="25" t="s">
        <v>137</v>
      </c>
      <c r="B7" s="276"/>
      <c r="C7" s="276"/>
      <c r="D7" s="271">
        <v>44531</v>
      </c>
    </row>
    <row r="8" spans="1:10" x14ac:dyDescent="0.2">
      <c r="A8" s="145" t="s">
        <v>138</v>
      </c>
      <c r="B8" s="386">
        <v>4.6499999999999996E-3</v>
      </c>
      <c r="C8" s="386"/>
      <c r="D8" s="271"/>
    </row>
    <row r="9" spans="1:10" x14ac:dyDescent="0.2">
      <c r="A9" s="227" t="s">
        <v>140</v>
      </c>
      <c r="B9" s="386">
        <v>4.1900000000000001E-3</v>
      </c>
      <c r="C9" s="386"/>
      <c r="D9" s="271"/>
    </row>
    <row r="10" spans="1:10" x14ac:dyDescent="0.2">
      <c r="A10" s="145" t="s">
        <v>139</v>
      </c>
      <c r="B10" s="386">
        <v>3.63E-3</v>
      </c>
      <c r="C10" s="386"/>
      <c r="D10" s="271"/>
    </row>
    <row r="11" spans="1:10" x14ac:dyDescent="0.2">
      <c r="B11" s="276"/>
      <c r="C11" s="276"/>
      <c r="D11" s="276"/>
    </row>
    <row r="12" spans="1:10" x14ac:dyDescent="0.2">
      <c r="A12" s="133" t="s">
        <v>141</v>
      </c>
      <c r="B12" s="387">
        <v>0</v>
      </c>
      <c r="C12" s="387"/>
      <c r="D12" s="271">
        <v>44531</v>
      </c>
    </row>
    <row r="13" spans="1:10" x14ac:dyDescent="0.2">
      <c r="B13" s="276"/>
      <c r="C13" s="276"/>
      <c r="D13" s="276"/>
    </row>
    <row r="14" spans="1:10" x14ac:dyDescent="0.2">
      <c r="A14" s="275" t="s">
        <v>158</v>
      </c>
      <c r="B14" s="590"/>
      <c r="C14" s="591"/>
      <c r="D14" s="591"/>
      <c r="G14" s="275"/>
      <c r="H14" s="590"/>
      <c r="I14" s="590"/>
      <c r="J14" s="590"/>
    </row>
    <row r="15" spans="1:10" x14ac:dyDescent="0.2">
      <c r="A15" s="273" t="s">
        <v>256</v>
      </c>
      <c r="B15" s="414">
        <v>0</v>
      </c>
      <c r="C15" s="270"/>
      <c r="D15" s="271">
        <v>45505</v>
      </c>
      <c r="G15" s="273"/>
      <c r="H15" s="270"/>
      <c r="I15" s="270"/>
      <c r="J15" s="271"/>
    </row>
    <row r="16" spans="1:10" x14ac:dyDescent="0.2">
      <c r="A16" s="272" t="s">
        <v>257</v>
      </c>
      <c r="B16" s="270">
        <v>0</v>
      </c>
      <c r="C16" s="270"/>
      <c r="D16" s="271">
        <v>45197</v>
      </c>
    </row>
    <row r="17" spans="1:6" x14ac:dyDescent="0.2">
      <c r="A17" s="18"/>
      <c r="B17" s="276"/>
      <c r="C17" s="276"/>
      <c r="D17" s="276"/>
    </row>
    <row r="18" spans="1:6" x14ac:dyDescent="0.2">
      <c r="A18" s="25" t="s">
        <v>246</v>
      </c>
      <c r="B18" s="388">
        <v>0</v>
      </c>
      <c r="C18" s="271"/>
      <c r="D18" s="271">
        <v>44531</v>
      </c>
      <c r="E18" s="389">
        <v>0</v>
      </c>
      <c r="F18" s="271">
        <v>44531</v>
      </c>
    </row>
    <row r="19" spans="1:6" x14ac:dyDescent="0.2">
      <c r="B19" s="276"/>
      <c r="C19" s="276"/>
      <c r="D19" s="276"/>
    </row>
    <row r="20" spans="1:6" x14ac:dyDescent="0.2">
      <c r="A20" s="133" t="s">
        <v>186</v>
      </c>
      <c r="B20" s="390" t="s">
        <v>171</v>
      </c>
      <c r="C20" s="390" t="s">
        <v>172</v>
      </c>
      <c r="D20" s="276"/>
    </row>
    <row r="21" spans="1:6" x14ac:dyDescent="0.2">
      <c r="A21" s="227" t="s">
        <v>153</v>
      </c>
      <c r="B21" s="411">
        <v>7.0209999999999995E-2</v>
      </c>
      <c r="C21" s="411">
        <v>7.0209999999999995E-2</v>
      </c>
      <c r="D21" s="271">
        <v>45444</v>
      </c>
    </row>
    <row r="22" spans="1:6" x14ac:dyDescent="0.2">
      <c r="A22" s="291" t="s">
        <v>304</v>
      </c>
      <c r="B22" s="411">
        <v>7.0209999999999995E-2</v>
      </c>
      <c r="C22" s="411">
        <v>7.0209999999999995E-2</v>
      </c>
      <c r="D22" s="271">
        <v>45444</v>
      </c>
    </row>
    <row r="23" spans="1:6" x14ac:dyDescent="0.2">
      <c r="A23" s="227" t="s">
        <v>188</v>
      </c>
      <c r="B23" s="411">
        <v>7.0209999999999995E-2</v>
      </c>
      <c r="C23" s="411">
        <v>7.0209999999999995E-2</v>
      </c>
      <c r="D23" s="271">
        <v>45444</v>
      </c>
    </row>
    <row r="24" spans="1:6" x14ac:dyDescent="0.2">
      <c r="A24" s="227" t="s">
        <v>189</v>
      </c>
      <c r="B24" s="412">
        <v>6.7849999999999994E-2</v>
      </c>
      <c r="C24" s="412">
        <v>6.7849999999999994E-2</v>
      </c>
      <c r="D24" s="271">
        <v>45444</v>
      </c>
    </row>
    <row r="25" spans="1:6" x14ac:dyDescent="0.2">
      <c r="A25" s="227" t="s">
        <v>190</v>
      </c>
      <c r="B25" s="412">
        <v>6.6629999999999995E-2</v>
      </c>
      <c r="C25" s="412">
        <v>6.6629999999999995E-2</v>
      </c>
      <c r="D25" s="271">
        <v>45444</v>
      </c>
    </row>
    <row r="26" spans="1:6" x14ac:dyDescent="0.2">
      <c r="A26" s="145"/>
      <c r="B26" s="270"/>
      <c r="C26" s="270"/>
      <c r="D26" s="271"/>
    </row>
    <row r="27" spans="1:6" x14ac:dyDescent="0.2">
      <c r="A27" s="133" t="s">
        <v>160</v>
      </c>
      <c r="B27" s="391" t="s">
        <v>171</v>
      </c>
      <c r="C27" s="391" t="s">
        <v>172</v>
      </c>
      <c r="D27" s="271"/>
    </row>
    <row r="28" spans="1:6" x14ac:dyDescent="0.2">
      <c r="A28" s="227" t="s">
        <v>196</v>
      </c>
      <c r="B28" s="412">
        <v>3.2000000000000002E-3</v>
      </c>
      <c r="C28" s="385"/>
      <c r="D28" s="271">
        <v>45444</v>
      </c>
    </row>
    <row r="29" spans="1:6" x14ac:dyDescent="0.2">
      <c r="A29" s="145" t="s">
        <v>168</v>
      </c>
      <c r="B29" s="413">
        <v>4.4387999999999997E-3</v>
      </c>
      <c r="C29" s="413">
        <v>4.4387999999999997E-3</v>
      </c>
      <c r="D29" s="271">
        <v>45444</v>
      </c>
    </row>
    <row r="30" spans="1:6" x14ac:dyDescent="0.2">
      <c r="A30" s="145" t="s">
        <v>169</v>
      </c>
      <c r="B30" s="413">
        <v>4.2166E-3</v>
      </c>
      <c r="C30" s="413">
        <v>2.4020999999999999E-3</v>
      </c>
      <c r="D30" s="271">
        <v>45444</v>
      </c>
    </row>
    <row r="31" spans="1:6" x14ac:dyDescent="0.2">
      <c r="A31" s="145" t="s">
        <v>170</v>
      </c>
      <c r="B31" s="413">
        <v>3.9453999999999999E-3</v>
      </c>
      <c r="C31" s="413">
        <v>2.8092999999999998E-3</v>
      </c>
      <c r="D31" s="271">
        <v>45444</v>
      </c>
    </row>
    <row r="32" spans="1:6" x14ac:dyDescent="0.2">
      <c r="A32" s="145" t="s">
        <v>179</v>
      </c>
      <c r="B32" s="413">
        <v>5.5376999999999996E-3</v>
      </c>
      <c r="C32" s="270"/>
      <c r="D32" s="271">
        <v>45444</v>
      </c>
    </row>
    <row r="33" spans="1:4" x14ac:dyDescent="0.2">
      <c r="A33" s="145" t="s">
        <v>178</v>
      </c>
      <c r="B33" s="413">
        <v>1.8998000000000001E-3</v>
      </c>
      <c r="C33" s="385"/>
      <c r="D33" s="271">
        <v>45444</v>
      </c>
    </row>
    <row r="34" spans="1:4" x14ac:dyDescent="0.2">
      <c r="A34" s="145" t="s">
        <v>231</v>
      </c>
      <c r="B34" s="413">
        <v>2.67383E-2</v>
      </c>
      <c r="C34" s="385"/>
      <c r="D34" s="271">
        <v>45444</v>
      </c>
    </row>
    <row r="35" spans="1:4" x14ac:dyDescent="0.2">
      <c r="A35" s="145" t="s">
        <v>232</v>
      </c>
      <c r="B35" s="413">
        <v>0</v>
      </c>
      <c r="C35" s="385"/>
      <c r="D35" s="271">
        <v>45444</v>
      </c>
    </row>
    <row r="36" spans="1:4" x14ac:dyDescent="0.2">
      <c r="A36" s="145" t="s">
        <v>143</v>
      </c>
      <c r="B36" s="413">
        <v>2.7299999999999998E-3</v>
      </c>
      <c r="C36" s="270"/>
      <c r="D36" s="271">
        <v>45444</v>
      </c>
    </row>
    <row r="37" spans="1:4" x14ac:dyDescent="0.2">
      <c r="A37" s="227" t="s">
        <v>188</v>
      </c>
      <c r="B37" s="413">
        <v>2.65E-3</v>
      </c>
      <c r="C37" s="385"/>
      <c r="D37" s="271">
        <v>45444</v>
      </c>
    </row>
    <row r="38" spans="1:4" x14ac:dyDescent="0.2">
      <c r="A38" s="227" t="s">
        <v>236</v>
      </c>
      <c r="B38" s="413">
        <v>2.2890699999999998E-3</v>
      </c>
      <c r="C38" s="385"/>
      <c r="D38" s="271">
        <v>45444</v>
      </c>
    </row>
    <row r="39" spans="1:4" x14ac:dyDescent="0.2">
      <c r="A39" s="227" t="s">
        <v>235</v>
      </c>
      <c r="B39" s="413">
        <v>0</v>
      </c>
      <c r="C39" s="385"/>
      <c r="D39" s="271">
        <v>45444</v>
      </c>
    </row>
    <row r="40" spans="1:4" x14ac:dyDescent="0.2">
      <c r="A40" s="145" t="s">
        <v>162</v>
      </c>
      <c r="B40" s="413">
        <v>8.1709E-3</v>
      </c>
      <c r="C40" s="276"/>
      <c r="D40" s="271">
        <v>45444</v>
      </c>
    </row>
    <row r="41" spans="1:4" x14ac:dyDescent="0.2">
      <c r="A41" s="145" t="s">
        <v>163</v>
      </c>
      <c r="B41" s="385">
        <v>2.7900000000000001E-5</v>
      </c>
      <c r="C41" s="276"/>
      <c r="D41" s="271">
        <v>45444</v>
      </c>
    </row>
    <row r="42" spans="1:4" x14ac:dyDescent="0.2">
      <c r="A42" s="227" t="s">
        <v>189</v>
      </c>
      <c r="B42" s="385">
        <v>2.14E-3</v>
      </c>
      <c r="C42" s="276"/>
      <c r="D42" s="271">
        <v>45444</v>
      </c>
    </row>
    <row r="43" spans="1:4" x14ac:dyDescent="0.2">
      <c r="A43" s="227" t="s">
        <v>190</v>
      </c>
      <c r="B43" s="385">
        <v>1.66E-3</v>
      </c>
      <c r="C43" s="276"/>
      <c r="D43" s="271">
        <v>45444</v>
      </c>
    </row>
    <row r="44" spans="1:4" x14ac:dyDescent="0.2">
      <c r="A44" s="291" t="s">
        <v>341</v>
      </c>
      <c r="B44" s="385">
        <v>3.0709000000000001E-3</v>
      </c>
      <c r="C44" s="426">
        <v>1.325E-3</v>
      </c>
      <c r="D44" s="271">
        <v>45444</v>
      </c>
    </row>
    <row r="45" spans="1:4" x14ac:dyDescent="0.2">
      <c r="A45" s="291" t="s">
        <v>342</v>
      </c>
      <c r="B45" s="385">
        <v>2.5335000000000002E-3</v>
      </c>
      <c r="C45" s="426">
        <v>1.07E-3</v>
      </c>
      <c r="D45" s="271">
        <v>45444</v>
      </c>
    </row>
    <row r="46" spans="1:4" x14ac:dyDescent="0.2">
      <c r="A46" s="291" t="s">
        <v>343</v>
      </c>
      <c r="B46" s="385">
        <v>2.0022E-3</v>
      </c>
      <c r="C46" s="426">
        <v>8.3000000000000001E-4</v>
      </c>
      <c r="D46" s="271">
        <v>45444</v>
      </c>
    </row>
    <row r="47" spans="1:4" x14ac:dyDescent="0.2">
      <c r="D47" s="271"/>
    </row>
    <row r="48" spans="1:4" x14ac:dyDescent="0.2">
      <c r="A48" s="145"/>
      <c r="D48" s="392"/>
    </row>
    <row r="49" spans="1:8" x14ac:dyDescent="0.2">
      <c r="A49" s="382" t="s">
        <v>191</v>
      </c>
      <c r="B49" s="526">
        <v>-3.1569999999999998E-4</v>
      </c>
      <c r="C49" s="276"/>
      <c r="D49" s="271">
        <v>45471</v>
      </c>
      <c r="E49" s="276"/>
      <c r="F49" s="276"/>
    </row>
    <row r="50" spans="1:8" x14ac:dyDescent="0.2">
      <c r="A50" s="145"/>
      <c r="B50" s="276"/>
      <c r="C50" s="276"/>
      <c r="D50" s="271"/>
      <c r="E50" s="276"/>
      <c r="F50" s="276"/>
    </row>
    <row r="51" spans="1:8" x14ac:dyDescent="0.2">
      <c r="A51" s="133" t="s">
        <v>218</v>
      </c>
      <c r="B51" s="393" t="s">
        <v>221</v>
      </c>
      <c r="C51" s="393" t="s">
        <v>222</v>
      </c>
      <c r="D51" s="393" t="s">
        <v>34</v>
      </c>
      <c r="E51" s="393" t="s">
        <v>223</v>
      </c>
      <c r="F51" s="276"/>
    </row>
    <row r="52" spans="1:8" x14ac:dyDescent="0.2">
      <c r="A52" s="227" t="s">
        <v>219</v>
      </c>
      <c r="B52" s="527">
        <v>1.38</v>
      </c>
      <c r="C52" s="528">
        <v>0.01</v>
      </c>
      <c r="D52" s="529">
        <f>SUM(B52:C52)</f>
        <v>1.39</v>
      </c>
      <c r="E52" s="395">
        <v>45474</v>
      </c>
      <c r="F52" s="394"/>
    </row>
    <row r="53" spans="1:8" x14ac:dyDescent="0.2">
      <c r="A53" s="227" t="s">
        <v>220</v>
      </c>
      <c r="B53" s="530">
        <v>1.8006999999999999E-3</v>
      </c>
      <c r="C53" s="531">
        <v>0</v>
      </c>
      <c r="D53" s="394">
        <f>SUM(B53:C53)</f>
        <v>1.8006999999999999E-3</v>
      </c>
      <c r="E53" s="395">
        <v>45474</v>
      </c>
      <c r="F53" s="400"/>
    </row>
    <row r="54" spans="1:8" x14ac:dyDescent="0.2">
      <c r="A54" s="227"/>
      <c r="B54" s="253"/>
      <c r="C54" s="276"/>
      <c r="D54" s="271"/>
    </row>
    <row r="55" spans="1:8" x14ac:dyDescent="0.2">
      <c r="A55" s="227"/>
      <c r="B55" s="253"/>
      <c r="C55" s="276"/>
      <c r="D55" s="271"/>
    </row>
    <row r="56" spans="1:8" x14ac:dyDescent="0.2">
      <c r="A56" s="227"/>
      <c r="B56" s="253"/>
      <c r="D56" s="271"/>
    </row>
    <row r="57" spans="1:8" x14ac:dyDescent="0.2">
      <c r="A57" s="145"/>
      <c r="D57" s="392"/>
    </row>
    <row r="58" spans="1:8" x14ac:dyDescent="0.2">
      <c r="A58" s="133" t="s">
        <v>192</v>
      </c>
      <c r="D58" s="276"/>
    </row>
    <row r="59" spans="1:8" x14ac:dyDescent="0.2">
      <c r="A59" s="227" t="s">
        <v>153</v>
      </c>
      <c r="B59" s="18">
        <v>4.3837099999999997E-2</v>
      </c>
      <c r="C59" s="276"/>
      <c r="D59" s="271">
        <v>45383</v>
      </c>
      <c r="F59" s="396" t="s">
        <v>288</v>
      </c>
      <c r="G59" s="84">
        <v>2.3467399999999999E-2</v>
      </c>
      <c r="H59" s="271">
        <v>45383</v>
      </c>
    </row>
    <row r="60" spans="1:8" x14ac:dyDescent="0.2">
      <c r="A60" s="227" t="s">
        <v>187</v>
      </c>
      <c r="B60" s="18">
        <v>2.3467399999999999E-2</v>
      </c>
      <c r="C60" s="276"/>
      <c r="D60" s="271">
        <v>45383</v>
      </c>
      <c r="F60" s="396" t="s">
        <v>289</v>
      </c>
      <c r="G60" s="84">
        <v>3.2698999999999999E-2</v>
      </c>
      <c r="H60" s="271">
        <v>45383</v>
      </c>
    </row>
    <row r="61" spans="1:8" x14ac:dyDescent="0.2">
      <c r="A61" s="227" t="s">
        <v>188</v>
      </c>
      <c r="B61" s="18">
        <v>6.0079999999999997E-4</v>
      </c>
      <c r="C61" s="276"/>
      <c r="D61" s="271">
        <v>45383</v>
      </c>
    </row>
    <row r="62" spans="1:8" x14ac:dyDescent="0.2">
      <c r="A62" s="227" t="s">
        <v>189</v>
      </c>
      <c r="B62" s="18">
        <v>5.8060000000000002E-4</v>
      </c>
      <c r="C62" s="276"/>
      <c r="D62" s="271">
        <v>45383</v>
      </c>
    </row>
    <row r="63" spans="1:8" x14ac:dyDescent="0.2">
      <c r="A63" s="227" t="s">
        <v>190</v>
      </c>
      <c r="B63" s="18">
        <v>5.7019999999999998E-4</v>
      </c>
      <c r="C63" s="276"/>
      <c r="D63" s="271">
        <v>45383</v>
      </c>
    </row>
    <row r="64" spans="1:8" x14ac:dyDescent="0.2">
      <c r="C64" s="276"/>
      <c r="D64" s="276"/>
    </row>
    <row r="65" spans="1:4" x14ac:dyDescent="0.2">
      <c r="A65" s="133" t="s">
        <v>193</v>
      </c>
      <c r="C65" s="276"/>
      <c r="D65" s="276"/>
    </row>
    <row r="66" spans="1:4" x14ac:dyDescent="0.2">
      <c r="A66" s="227" t="s">
        <v>188</v>
      </c>
      <c r="B66" s="397">
        <v>6.73</v>
      </c>
      <c r="C66" s="276"/>
      <c r="D66" s="271">
        <v>45383</v>
      </c>
    </row>
    <row r="67" spans="1:4" x14ac:dyDescent="0.2">
      <c r="A67" s="227" t="s">
        <v>189</v>
      </c>
      <c r="B67" s="397">
        <v>6.76</v>
      </c>
      <c r="C67" s="276"/>
      <c r="D67" s="271">
        <v>45383</v>
      </c>
    </row>
    <row r="68" spans="1:4" x14ac:dyDescent="0.2">
      <c r="A68" s="227" t="s">
        <v>190</v>
      </c>
      <c r="B68" s="397">
        <v>7.45</v>
      </c>
      <c r="C68" s="276"/>
      <c r="D68" s="271">
        <v>45383</v>
      </c>
    </row>
    <row r="69" spans="1:4" x14ac:dyDescent="0.2">
      <c r="A69" s="227"/>
      <c r="B69" s="397"/>
      <c r="C69" s="276"/>
      <c r="D69" s="271"/>
    </row>
    <row r="70" spans="1:4" x14ac:dyDescent="0.2">
      <c r="A70" s="133" t="s">
        <v>344</v>
      </c>
      <c r="B70" s="165">
        <v>8.6240000000000004E-4</v>
      </c>
      <c r="C70" s="276"/>
      <c r="D70" s="271">
        <v>45532</v>
      </c>
    </row>
    <row r="71" spans="1:4" x14ac:dyDescent="0.2">
      <c r="A71" s="145"/>
      <c r="D71" s="271"/>
    </row>
    <row r="72" spans="1:4" x14ac:dyDescent="0.2">
      <c r="A72" s="133" t="s">
        <v>346</v>
      </c>
      <c r="C72" s="398" t="s">
        <v>215</v>
      </c>
      <c r="D72" s="271"/>
    </row>
    <row r="73" spans="1:4" x14ac:dyDescent="0.2">
      <c r="A73" s="145" t="s">
        <v>142</v>
      </c>
      <c r="B73" s="385">
        <v>0</v>
      </c>
      <c r="C73" s="385">
        <v>0</v>
      </c>
      <c r="D73" s="392">
        <v>44531</v>
      </c>
    </row>
    <row r="74" spans="1:4" x14ac:dyDescent="0.2">
      <c r="A74" s="145" t="s">
        <v>143</v>
      </c>
      <c r="B74" s="385">
        <v>0</v>
      </c>
      <c r="C74" s="385">
        <v>0</v>
      </c>
      <c r="D74" s="392">
        <v>44531</v>
      </c>
    </row>
    <row r="75" spans="1:4" x14ac:dyDescent="0.2">
      <c r="A75" s="145" t="s">
        <v>148</v>
      </c>
      <c r="B75" s="385">
        <v>0</v>
      </c>
      <c r="C75" s="385">
        <v>0</v>
      </c>
      <c r="D75" s="392">
        <v>44531</v>
      </c>
    </row>
    <row r="76" spans="1:4" x14ac:dyDescent="0.2">
      <c r="A76" s="145" t="s">
        <v>144</v>
      </c>
      <c r="B76" s="385">
        <v>0</v>
      </c>
      <c r="C76" s="385">
        <v>0</v>
      </c>
      <c r="D76" s="392">
        <v>44531</v>
      </c>
    </row>
    <row r="77" spans="1:4" x14ac:dyDescent="0.2">
      <c r="A77" s="145" t="s">
        <v>149</v>
      </c>
      <c r="B77" s="385">
        <v>0</v>
      </c>
      <c r="C77" s="385">
        <v>0</v>
      </c>
      <c r="D77" s="392">
        <v>44531</v>
      </c>
    </row>
    <row r="78" spans="1:4" x14ac:dyDescent="0.2">
      <c r="A78" s="145" t="s">
        <v>150</v>
      </c>
      <c r="B78" s="385">
        <v>0</v>
      </c>
      <c r="C78" s="385">
        <v>0</v>
      </c>
      <c r="D78" s="392">
        <v>44531</v>
      </c>
    </row>
    <row r="79" spans="1:4" x14ac:dyDescent="0.2">
      <c r="A79" s="145"/>
      <c r="B79" s="270"/>
      <c r="C79" s="270"/>
      <c r="D79" s="271"/>
    </row>
    <row r="80" spans="1:4" x14ac:dyDescent="0.2">
      <c r="A80" s="133" t="s">
        <v>203</v>
      </c>
      <c r="B80" s="276"/>
      <c r="C80" s="276"/>
      <c r="D80" s="392"/>
    </row>
    <row r="81" spans="1:4" x14ac:dyDescent="0.2">
      <c r="A81" s="145" t="s">
        <v>143</v>
      </c>
      <c r="B81" s="397">
        <v>0</v>
      </c>
      <c r="C81" s="385"/>
      <c r="D81" s="392">
        <v>45444</v>
      </c>
    </row>
    <row r="82" spans="1:4" x14ac:dyDescent="0.2">
      <c r="A82" s="145" t="s">
        <v>144</v>
      </c>
      <c r="B82" s="397">
        <v>0</v>
      </c>
      <c r="C82" s="385"/>
      <c r="D82" s="392">
        <v>45444</v>
      </c>
    </row>
    <row r="83" spans="1:4" x14ac:dyDescent="0.2">
      <c r="A83" s="145"/>
      <c r="B83" s="270"/>
      <c r="C83" s="270"/>
      <c r="D83" s="271"/>
    </row>
    <row r="84" spans="1:4" x14ac:dyDescent="0.2">
      <c r="A84" s="133" t="s">
        <v>204</v>
      </c>
      <c r="B84" s="276"/>
      <c r="C84" s="276"/>
      <c r="D84" s="392"/>
    </row>
    <row r="85" spans="1:4" x14ac:dyDescent="0.2">
      <c r="A85" s="145" t="s">
        <v>148</v>
      </c>
      <c r="B85" s="397">
        <v>0</v>
      </c>
      <c r="C85" s="385"/>
      <c r="D85" s="392">
        <v>45444</v>
      </c>
    </row>
    <row r="86" spans="1:4" x14ac:dyDescent="0.2">
      <c r="A86" s="145" t="s">
        <v>149</v>
      </c>
      <c r="B86" s="397">
        <v>0</v>
      </c>
      <c r="C86" s="385"/>
      <c r="D86" s="392">
        <v>45444</v>
      </c>
    </row>
    <row r="87" spans="1:4" x14ac:dyDescent="0.2">
      <c r="A87" s="145" t="s">
        <v>150</v>
      </c>
      <c r="B87" s="397">
        <v>0</v>
      </c>
      <c r="C87" s="270"/>
      <c r="D87" s="392">
        <v>45444</v>
      </c>
    </row>
    <row r="88" spans="1:4" x14ac:dyDescent="0.2">
      <c r="A88" s="145"/>
      <c r="B88" s="270"/>
      <c r="C88" s="270"/>
      <c r="D88" s="271"/>
    </row>
    <row r="89" spans="1:4" x14ac:dyDescent="0.2">
      <c r="A89" s="382" t="s">
        <v>151</v>
      </c>
      <c r="B89" s="410">
        <v>2.9347000000000002E-2</v>
      </c>
      <c r="C89" s="408"/>
      <c r="D89" s="271">
        <v>45383</v>
      </c>
    </row>
    <row r="90" spans="1:4" x14ac:dyDescent="0.2">
      <c r="A90" s="145"/>
      <c r="D90" s="392"/>
    </row>
    <row r="91" spans="1:4" x14ac:dyDescent="0.2">
      <c r="A91" s="25" t="s">
        <v>152</v>
      </c>
      <c r="B91" s="399">
        <v>6.6985699999999995E-2</v>
      </c>
      <c r="C91" s="399"/>
      <c r="D91" s="271">
        <v>45167</v>
      </c>
    </row>
    <row r="93" spans="1:4" x14ac:dyDescent="0.2">
      <c r="A93" s="25" t="s">
        <v>324</v>
      </c>
      <c r="B93" s="276"/>
      <c r="C93" s="276"/>
      <c r="D93" s="271"/>
    </row>
    <row r="94" spans="1:4" x14ac:dyDescent="0.2">
      <c r="A94" s="227" t="s">
        <v>153</v>
      </c>
      <c r="B94" s="400">
        <v>1.42</v>
      </c>
      <c r="C94" s="400"/>
      <c r="D94" s="271">
        <v>45442</v>
      </c>
    </row>
    <row r="95" spans="1:4" x14ac:dyDescent="0.2">
      <c r="A95" s="227" t="s">
        <v>154</v>
      </c>
      <c r="B95" s="400">
        <v>11.97</v>
      </c>
      <c r="C95" s="400"/>
      <c r="D95" s="271">
        <v>45442</v>
      </c>
    </row>
    <row r="96" spans="1:4" x14ac:dyDescent="0.2">
      <c r="B96" s="276"/>
      <c r="C96" s="276"/>
      <c r="D96" s="276"/>
    </row>
    <row r="97" spans="1:6" x14ac:dyDescent="0.2">
      <c r="A97" s="25" t="s">
        <v>248</v>
      </c>
      <c r="B97" s="399"/>
      <c r="C97" s="399"/>
      <c r="D97" s="271"/>
    </row>
    <row r="98" spans="1:6" x14ac:dyDescent="0.2">
      <c r="A98" s="145" t="s">
        <v>142</v>
      </c>
      <c r="B98" s="385">
        <v>0</v>
      </c>
      <c r="C98" s="385"/>
      <c r="D98" s="271">
        <v>44531</v>
      </c>
      <c r="E98" s="401"/>
      <c r="F98" s="392"/>
    </row>
    <row r="99" spans="1:6" x14ac:dyDescent="0.2">
      <c r="A99" s="145" t="s">
        <v>143</v>
      </c>
      <c r="B99" s="385">
        <v>0</v>
      </c>
      <c r="C99" s="385"/>
      <c r="D99" s="271">
        <v>44531</v>
      </c>
      <c r="E99" s="401"/>
      <c r="F99" s="392"/>
    </row>
    <row r="100" spans="1:6" x14ac:dyDescent="0.2">
      <c r="A100" s="145" t="s">
        <v>205</v>
      </c>
      <c r="B100" s="385">
        <v>0</v>
      </c>
      <c r="C100" s="385"/>
      <c r="D100" s="271">
        <v>44531</v>
      </c>
      <c r="E100" s="401"/>
      <c r="F100" s="392"/>
    </row>
    <row r="101" spans="1:6" x14ac:dyDescent="0.2">
      <c r="A101" s="145" t="s">
        <v>206</v>
      </c>
      <c r="B101" s="385">
        <v>0</v>
      </c>
      <c r="C101" s="385"/>
      <c r="D101" s="271">
        <v>44531</v>
      </c>
      <c r="E101" s="401"/>
      <c r="F101" s="392"/>
    </row>
    <row r="102" spans="1:6" x14ac:dyDescent="0.2">
      <c r="A102" s="145" t="s">
        <v>207</v>
      </c>
      <c r="B102" s="385">
        <v>0</v>
      </c>
      <c r="C102" s="385"/>
      <c r="D102" s="271">
        <v>44531</v>
      </c>
      <c r="E102" s="401"/>
      <c r="F102" s="392"/>
    </row>
    <row r="103" spans="1:6" x14ac:dyDescent="0.2">
      <c r="A103" s="145" t="s">
        <v>208</v>
      </c>
      <c r="B103" s="385">
        <v>0</v>
      </c>
      <c r="C103" s="385"/>
      <c r="D103" s="271">
        <v>44531</v>
      </c>
      <c r="E103" s="401"/>
      <c r="F103" s="392"/>
    </row>
    <row r="104" spans="1:6" x14ac:dyDescent="0.2">
      <c r="A104" s="145" t="s">
        <v>209</v>
      </c>
      <c r="B104" s="385">
        <v>0</v>
      </c>
      <c r="C104" s="385"/>
      <c r="D104" s="271">
        <v>44531</v>
      </c>
      <c r="E104" s="401"/>
      <c r="F104" s="392"/>
    </row>
    <row r="105" spans="1:6" x14ac:dyDescent="0.2">
      <c r="A105" s="145" t="s">
        <v>210</v>
      </c>
      <c r="B105" s="385">
        <v>0</v>
      </c>
      <c r="C105" s="385"/>
      <c r="D105" s="271">
        <v>44531</v>
      </c>
      <c r="E105" s="401"/>
      <c r="F105" s="392"/>
    </row>
    <row r="106" spans="1:6" x14ac:dyDescent="0.2">
      <c r="A106" s="145" t="s">
        <v>211</v>
      </c>
      <c r="B106" s="385">
        <v>0</v>
      </c>
      <c r="C106" s="385"/>
      <c r="D106" s="271">
        <v>44531</v>
      </c>
      <c r="E106" s="401"/>
      <c r="F106" s="392"/>
    </row>
    <row r="107" spans="1:6" x14ac:dyDescent="0.2">
      <c r="A107" s="145" t="s">
        <v>212</v>
      </c>
      <c r="B107" s="385">
        <v>0</v>
      </c>
      <c r="C107" s="385"/>
      <c r="D107" s="271">
        <v>44531</v>
      </c>
      <c r="E107" s="401"/>
      <c r="F107" s="392"/>
    </row>
    <row r="108" spans="1:6" x14ac:dyDescent="0.2">
      <c r="B108" s="276"/>
      <c r="C108" s="276"/>
      <c r="D108" s="276"/>
    </row>
    <row r="109" spans="1:6" x14ac:dyDescent="0.2">
      <c r="A109" s="25" t="s">
        <v>155</v>
      </c>
      <c r="B109" s="532">
        <v>0.211176</v>
      </c>
      <c r="C109" s="399"/>
      <c r="D109" s="409">
        <v>45532</v>
      </c>
    </row>
    <row r="110" spans="1:6" x14ac:dyDescent="0.2">
      <c r="B110" s="276"/>
      <c r="C110" s="276"/>
      <c r="D110" s="276"/>
    </row>
    <row r="111" spans="1:6" x14ac:dyDescent="0.2">
      <c r="A111" s="25" t="s">
        <v>217</v>
      </c>
      <c r="B111" s="276"/>
      <c r="C111" s="276"/>
      <c r="D111" s="271"/>
    </row>
    <row r="112" spans="1:6" x14ac:dyDescent="0.2">
      <c r="A112" s="227" t="s">
        <v>153</v>
      </c>
      <c r="B112" s="400">
        <v>0</v>
      </c>
      <c r="C112" s="400"/>
      <c r="D112" s="271">
        <v>44894</v>
      </c>
    </row>
    <row r="113" spans="1:5" x14ac:dyDescent="0.2">
      <c r="A113" s="227" t="s">
        <v>154</v>
      </c>
      <c r="B113" s="400">
        <v>0</v>
      </c>
      <c r="C113" s="400"/>
      <c r="D113" s="271">
        <v>44894</v>
      </c>
    </row>
    <row r="115" spans="1:5" x14ac:dyDescent="0.2">
      <c r="A115" s="133" t="s">
        <v>213</v>
      </c>
      <c r="D115" s="271"/>
    </row>
    <row r="116" spans="1:5" x14ac:dyDescent="0.2">
      <c r="A116" s="145" t="s">
        <v>145</v>
      </c>
      <c r="B116" s="252">
        <v>3.8972999999999998E-3</v>
      </c>
      <c r="C116" s="270"/>
      <c r="D116" s="392">
        <v>44531</v>
      </c>
    </row>
    <row r="117" spans="1:5" x14ac:dyDescent="0.2">
      <c r="A117" s="145" t="s">
        <v>146</v>
      </c>
      <c r="B117" s="252">
        <v>3.7618E-3</v>
      </c>
      <c r="C117" s="270"/>
      <c r="D117" s="392">
        <v>44531</v>
      </c>
    </row>
    <row r="118" spans="1:5" x14ac:dyDescent="0.2">
      <c r="A118" s="145" t="s">
        <v>147</v>
      </c>
      <c r="B118" s="252">
        <v>3.6865999999999999E-3</v>
      </c>
      <c r="C118" s="270"/>
      <c r="D118" s="392">
        <v>44531</v>
      </c>
    </row>
    <row r="120" spans="1:5" x14ac:dyDescent="0.2">
      <c r="A120" s="133" t="s">
        <v>216</v>
      </c>
    </row>
    <row r="121" spans="1:5" x14ac:dyDescent="0.2">
      <c r="A121" s="145" t="s">
        <v>153</v>
      </c>
      <c r="B121" s="402">
        <v>-2.3000000000000001E-4</v>
      </c>
      <c r="D121" s="392">
        <v>44531</v>
      </c>
    </row>
    <row r="122" spans="1:5" x14ac:dyDescent="0.2">
      <c r="A122" s="145" t="s">
        <v>154</v>
      </c>
      <c r="B122" s="402">
        <v>-6.2E-4</v>
      </c>
      <c r="D122" s="392">
        <v>44531</v>
      </c>
    </row>
    <row r="124" spans="1:5" x14ac:dyDescent="0.2">
      <c r="A124" s="25" t="s">
        <v>225</v>
      </c>
      <c r="B124" s="276"/>
      <c r="C124" s="276"/>
      <c r="D124" s="271"/>
    </row>
    <row r="125" spans="1:5" x14ac:dyDescent="0.2">
      <c r="A125" s="227" t="s">
        <v>153</v>
      </c>
      <c r="B125" s="405">
        <v>1.26</v>
      </c>
      <c r="C125" s="400"/>
      <c r="D125" s="392">
        <v>45226</v>
      </c>
    </row>
    <row r="126" spans="1:5" x14ac:dyDescent="0.2">
      <c r="A126" s="227" t="s">
        <v>154</v>
      </c>
      <c r="B126" s="405">
        <v>5.83</v>
      </c>
      <c r="C126" s="400"/>
      <c r="D126" s="392">
        <v>45226</v>
      </c>
    </row>
    <row r="128" spans="1:5" x14ac:dyDescent="0.2">
      <c r="A128" s="133" t="s">
        <v>238</v>
      </c>
      <c r="B128" s="403"/>
      <c r="E128" s="271"/>
    </row>
    <row r="129" spans="1:5" x14ac:dyDescent="0.2">
      <c r="A129" s="227" t="s">
        <v>153</v>
      </c>
      <c r="B129" s="18">
        <v>0.1</v>
      </c>
      <c r="C129" s="392"/>
      <c r="E129" s="392">
        <v>44927</v>
      </c>
    </row>
    <row r="130" spans="1:5" x14ac:dyDescent="0.2">
      <c r="A130" s="145" t="s">
        <v>134</v>
      </c>
      <c r="B130" s="18">
        <v>2.9050000000000001E-4</v>
      </c>
      <c r="C130" s="404">
        <v>242</v>
      </c>
      <c r="D130" s="18" t="s">
        <v>239</v>
      </c>
      <c r="E130" s="392">
        <v>45292</v>
      </c>
    </row>
    <row r="131" spans="1:5" x14ac:dyDescent="0.2">
      <c r="A131" s="145" t="s">
        <v>135</v>
      </c>
      <c r="B131" s="18">
        <v>0</v>
      </c>
      <c r="E131" s="392">
        <v>44927</v>
      </c>
    </row>
    <row r="133" spans="1:5" x14ac:dyDescent="0.2">
      <c r="A133" s="133" t="s">
        <v>250</v>
      </c>
    </row>
    <row r="134" spans="1:5" x14ac:dyDescent="0.2">
      <c r="A134" s="227" t="s">
        <v>153</v>
      </c>
      <c r="B134" s="404">
        <v>0</v>
      </c>
      <c r="D134" s="392">
        <v>44531</v>
      </c>
    </row>
    <row r="135" spans="1:5" x14ac:dyDescent="0.2">
      <c r="A135" s="227" t="s">
        <v>187</v>
      </c>
      <c r="B135" s="404">
        <v>0</v>
      </c>
      <c r="D135" s="392">
        <v>44531</v>
      </c>
    </row>
    <row r="136" spans="1:5" x14ac:dyDescent="0.2">
      <c r="A136" s="227" t="s">
        <v>188</v>
      </c>
      <c r="B136" s="404">
        <v>0</v>
      </c>
      <c r="D136" s="392">
        <v>44531</v>
      </c>
    </row>
    <row r="137" spans="1:5" x14ac:dyDescent="0.2">
      <c r="A137" s="227" t="s">
        <v>189</v>
      </c>
      <c r="B137" s="404">
        <v>0</v>
      </c>
      <c r="D137" s="392">
        <v>44531</v>
      </c>
    </row>
    <row r="138" spans="1:5" x14ac:dyDescent="0.2">
      <c r="A138" s="227" t="s">
        <v>190</v>
      </c>
      <c r="B138" s="404">
        <v>0</v>
      </c>
      <c r="D138" s="392">
        <v>44531</v>
      </c>
    </row>
    <row r="140" spans="1:5" x14ac:dyDescent="0.2">
      <c r="A140" s="25" t="s">
        <v>249</v>
      </c>
      <c r="B140" s="276"/>
      <c r="C140" s="276"/>
      <c r="D140" s="271"/>
    </row>
    <row r="141" spans="1:5" x14ac:dyDescent="0.2">
      <c r="A141" s="227" t="s">
        <v>153</v>
      </c>
      <c r="B141" s="400">
        <v>0</v>
      </c>
      <c r="C141" s="400"/>
      <c r="D141" s="392">
        <v>44531</v>
      </c>
    </row>
    <row r="142" spans="1:5" x14ac:dyDescent="0.2">
      <c r="A142" s="227" t="s">
        <v>154</v>
      </c>
      <c r="B142" s="400">
        <v>0</v>
      </c>
      <c r="C142" s="400"/>
      <c r="D142" s="392">
        <v>44531</v>
      </c>
    </row>
    <row r="144" spans="1:5" x14ac:dyDescent="0.2">
      <c r="A144" s="25" t="s">
        <v>251</v>
      </c>
      <c r="D144" s="18" t="s">
        <v>252</v>
      </c>
    </row>
    <row r="146" spans="1:8" x14ac:dyDescent="0.2">
      <c r="A146" s="25" t="s">
        <v>327</v>
      </c>
      <c r="B146" s="419">
        <v>10</v>
      </c>
      <c r="C146" s="420">
        <v>3.7427700000000001E-2</v>
      </c>
      <c r="D146" s="420">
        <v>1.5787499999999999E-2</v>
      </c>
      <c r="E146" s="419"/>
      <c r="F146" s="419">
        <v>0</v>
      </c>
      <c r="G146" s="419">
        <v>0</v>
      </c>
      <c r="H146" s="421">
        <v>45444</v>
      </c>
    </row>
    <row r="148" spans="1:8" x14ac:dyDescent="0.2">
      <c r="A148" s="25" t="s">
        <v>328</v>
      </c>
      <c r="B148" s="422">
        <v>9.4</v>
      </c>
      <c r="C148" s="423">
        <v>2.0634799999999998E-2</v>
      </c>
      <c r="D148" s="419">
        <v>0</v>
      </c>
      <c r="E148" s="419">
        <v>0</v>
      </c>
      <c r="F148" s="419">
        <v>0</v>
      </c>
      <c r="G148" s="422">
        <v>0</v>
      </c>
      <c r="H148" s="421">
        <v>45444</v>
      </c>
    </row>
    <row r="149" spans="1:8" x14ac:dyDescent="0.2">
      <c r="A149" s="25" t="s">
        <v>329</v>
      </c>
      <c r="B149" s="422">
        <v>138.5</v>
      </c>
      <c r="C149" s="423">
        <v>1.3832199999999999E-2</v>
      </c>
      <c r="D149" s="419">
        <v>0</v>
      </c>
      <c r="E149" s="419">
        <v>0</v>
      </c>
      <c r="F149" s="419">
        <v>0</v>
      </c>
      <c r="G149" s="422">
        <v>0</v>
      </c>
      <c r="H149" s="421">
        <v>45444</v>
      </c>
    </row>
    <row r="150" spans="1:8" x14ac:dyDescent="0.2">
      <c r="A150" s="25" t="s">
        <v>330</v>
      </c>
      <c r="B150" s="422">
        <v>825</v>
      </c>
      <c r="C150" s="423">
        <v>5.9799999999999997E-5</v>
      </c>
      <c r="D150" s="419">
        <v>0</v>
      </c>
      <c r="E150" s="419">
        <v>0</v>
      </c>
      <c r="F150" s="419">
        <v>0</v>
      </c>
      <c r="G150" s="422">
        <v>0</v>
      </c>
      <c r="H150" s="421">
        <v>45444</v>
      </c>
    </row>
    <row r="151" spans="1:8" x14ac:dyDescent="0.2">
      <c r="A151" s="25" t="s">
        <v>331</v>
      </c>
      <c r="B151" s="422">
        <v>3600</v>
      </c>
      <c r="C151" s="423">
        <v>5.9799999999999997E-5</v>
      </c>
      <c r="D151" s="419">
        <v>0</v>
      </c>
      <c r="E151" s="419">
        <v>0</v>
      </c>
      <c r="F151" s="419">
        <v>0</v>
      </c>
      <c r="G151" s="422">
        <v>0</v>
      </c>
      <c r="H151" s="421">
        <v>45444</v>
      </c>
    </row>
  </sheetData>
  <sheetProtection algorithmName="SHA-512" hashValue="+WG3SLUfbNZm2O6sl3plE4E0A2CYpYPrVKthtwkWQNg8NcZ/R2FEGNZ5/SiIYClGqexbDXIbAcaVT2dc+oY1qQ==" saltValue="h04vMfgJ6/eup9JBWLmCdQ==" spinCount="100000" sheet="1" objects="1" scenarios="1"/>
  <mergeCells count="2">
    <mergeCell ref="B14:D14"/>
    <mergeCell ref="H14:J14"/>
  </mergeCells>
  <phoneticPr fontId="28" type="noConversion"/>
  <hyperlinks>
    <hyperlink ref="A40" r:id="rId1" display="GS-@ TOD (On-Peak)" xr:uid="{00000000-0004-0000-1500-000000000000}"/>
    <hyperlink ref="A41" r:id="rId2" display="GS-@ TOD (On-Peak)" xr:uid="{00000000-0004-0000-1500-000001000000}"/>
  </hyperlinks>
  <printOptions gridLines="1"/>
  <pageMargins left="0" right="0" top="0.5" bottom="0.5" header="0.25" footer="0.25"/>
  <pageSetup scale="70" fitToHeight="4" orientation="portrait" r:id="rId3"/>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98" t="s">
        <v>36</v>
      </c>
      <c r="B2" s="598"/>
      <c r="C2" s="598"/>
      <c r="D2" s="598"/>
      <c r="E2" s="598"/>
    </row>
    <row r="3" spans="1:7" ht="13.5" thickBot="1" x14ac:dyDescent="0.25">
      <c r="A3" s="15" t="s">
        <v>23</v>
      </c>
      <c r="B3" s="16" t="s">
        <v>7</v>
      </c>
      <c r="C3" s="16" t="s">
        <v>1</v>
      </c>
      <c r="D3" s="16" t="s">
        <v>6</v>
      </c>
      <c r="E3" s="17" t="s">
        <v>58</v>
      </c>
    </row>
    <row r="4" spans="1:7" x14ac:dyDescent="0.2">
      <c r="A4" s="9" t="s">
        <v>5</v>
      </c>
      <c r="B4" s="5">
        <v>2001</v>
      </c>
      <c r="C4" s="7">
        <v>-4.8782899999999997E-2</v>
      </c>
      <c r="D4" s="8" t="s">
        <v>57</v>
      </c>
      <c r="E4" s="73" t="b">
        <v>1</v>
      </c>
      <c r="G4" s="48" t="s">
        <v>38</v>
      </c>
    </row>
    <row r="5" spans="1:7" x14ac:dyDescent="0.2">
      <c r="A5" s="66" t="s">
        <v>60</v>
      </c>
      <c r="B5" s="593">
        <v>2001</v>
      </c>
      <c r="C5" s="68">
        <v>7.7130000000000005E-4</v>
      </c>
      <c r="D5" s="67" t="s">
        <v>59</v>
      </c>
      <c r="E5" s="599" t="b">
        <v>1</v>
      </c>
      <c r="G5" s="56"/>
    </row>
    <row r="6" spans="1:7" x14ac:dyDescent="0.2">
      <c r="A6" s="66" t="s">
        <v>61</v>
      </c>
      <c r="B6" s="595"/>
      <c r="C6" s="68">
        <v>1.83E-4</v>
      </c>
      <c r="D6" s="67" t="s">
        <v>59</v>
      </c>
      <c r="E6" s="601"/>
      <c r="G6" s="56"/>
    </row>
    <row r="7" spans="1:7" x14ac:dyDescent="0.2">
      <c r="A7" s="10" t="s">
        <v>4</v>
      </c>
      <c r="B7" s="5">
        <v>2001</v>
      </c>
      <c r="C7" s="47">
        <v>1.0758E-4</v>
      </c>
      <c r="D7" s="5" t="s">
        <v>59</v>
      </c>
      <c r="E7" s="61" t="b">
        <v>1</v>
      </c>
      <c r="G7" s="56"/>
    </row>
    <row r="8" spans="1:7" ht="12.75" customHeight="1" x14ac:dyDescent="0.2">
      <c r="A8" s="69" t="s">
        <v>47</v>
      </c>
      <c r="B8" s="593">
        <v>2001</v>
      </c>
      <c r="C8" s="70">
        <v>4.6499999999999996E-3</v>
      </c>
      <c r="D8" s="593" t="s">
        <v>59</v>
      </c>
      <c r="E8" s="599" t="b">
        <v>1</v>
      </c>
      <c r="G8" s="592" t="s">
        <v>38</v>
      </c>
    </row>
    <row r="9" spans="1:7" x14ac:dyDescent="0.2">
      <c r="A9" s="69" t="s">
        <v>48</v>
      </c>
      <c r="B9" s="594"/>
      <c r="C9" s="70">
        <v>4.1900000000000001E-3</v>
      </c>
      <c r="D9" s="594"/>
      <c r="E9" s="600" t="b">
        <v>0</v>
      </c>
      <c r="G9" s="592"/>
    </row>
    <row r="10" spans="1:7" x14ac:dyDescent="0.2">
      <c r="A10" s="69" t="s">
        <v>49</v>
      </c>
      <c r="B10" s="595"/>
      <c r="C10" s="70">
        <v>3.63E-3</v>
      </c>
      <c r="D10" s="595"/>
      <c r="E10" s="601"/>
      <c r="G10" s="592"/>
    </row>
    <row r="11" spans="1:7" x14ac:dyDescent="0.2">
      <c r="A11" s="10" t="s">
        <v>13</v>
      </c>
      <c r="B11" s="5">
        <v>2002</v>
      </c>
      <c r="C11" s="6">
        <v>4.3600000000000003E-5</v>
      </c>
      <c r="D11" s="5" t="s">
        <v>59</v>
      </c>
      <c r="E11" s="61" t="b">
        <v>1</v>
      </c>
    </row>
    <row r="12" spans="1:7" x14ac:dyDescent="0.2">
      <c r="A12" s="69" t="s">
        <v>14</v>
      </c>
      <c r="B12" s="71">
        <v>2002</v>
      </c>
      <c r="C12" s="70">
        <v>1.2520000000000001E-4</v>
      </c>
      <c r="D12" s="71" t="s">
        <v>59</v>
      </c>
      <c r="E12" s="72" t="b">
        <v>1</v>
      </c>
    </row>
    <row r="13" spans="1:7" x14ac:dyDescent="0.2">
      <c r="A13" s="10" t="s">
        <v>16</v>
      </c>
      <c r="B13" s="5">
        <v>2002</v>
      </c>
      <c r="C13" s="6">
        <v>3.369E-4</v>
      </c>
      <c r="D13" s="5" t="s">
        <v>59</v>
      </c>
      <c r="E13" s="61" t="b">
        <v>1</v>
      </c>
    </row>
    <row r="14" spans="1:7" x14ac:dyDescent="0.2">
      <c r="A14" s="69" t="s">
        <v>17</v>
      </c>
      <c r="B14" s="71">
        <v>2002</v>
      </c>
      <c r="C14" s="70">
        <v>9.6730000000000004E-4</v>
      </c>
      <c r="D14" s="71" t="s">
        <v>59</v>
      </c>
      <c r="E14" s="72" t="b">
        <v>1</v>
      </c>
    </row>
    <row r="15" spans="1:7" x14ac:dyDescent="0.2">
      <c r="A15" s="10" t="s">
        <v>62</v>
      </c>
      <c r="B15" s="5">
        <v>2001</v>
      </c>
      <c r="C15" s="6">
        <v>6.3080000000000005E-4</v>
      </c>
      <c r="D15" s="5" t="s">
        <v>59</v>
      </c>
      <c r="E15" s="61" t="b">
        <v>1</v>
      </c>
    </row>
    <row r="16" spans="1:7" x14ac:dyDescent="0.2">
      <c r="A16" s="69" t="s">
        <v>9</v>
      </c>
      <c r="B16" s="71">
        <v>2001</v>
      </c>
      <c r="C16" s="70">
        <v>5.5290000000000005E-4</v>
      </c>
      <c r="D16" s="71" t="s">
        <v>59</v>
      </c>
      <c r="E16" s="72" t="b">
        <v>1</v>
      </c>
    </row>
    <row r="17" spans="1:5" x14ac:dyDescent="0.2">
      <c r="A17" s="10" t="s">
        <v>10</v>
      </c>
      <c r="B17" s="5">
        <v>2001</v>
      </c>
      <c r="C17" s="6">
        <v>5.6780000000000003E-4</v>
      </c>
      <c r="D17" s="5" t="s">
        <v>59</v>
      </c>
      <c r="E17" s="61" t="b">
        <v>1</v>
      </c>
    </row>
    <row r="18" spans="1:5" x14ac:dyDescent="0.2">
      <c r="A18" s="69" t="s">
        <v>11</v>
      </c>
      <c r="B18" s="71">
        <v>2001</v>
      </c>
      <c r="C18" s="70">
        <v>4.5619999999999998E-4</v>
      </c>
      <c r="D18" s="71" t="s">
        <v>59</v>
      </c>
      <c r="E18" s="72" t="b">
        <v>1</v>
      </c>
    </row>
    <row r="19" spans="1:5" x14ac:dyDescent="0.2">
      <c r="A19" s="10" t="s">
        <v>12</v>
      </c>
      <c r="B19" s="5">
        <v>2001</v>
      </c>
      <c r="C19" s="6">
        <v>3.9589999999999997E-4</v>
      </c>
      <c r="D19" s="5" t="s">
        <v>59</v>
      </c>
      <c r="E19" s="61" t="b">
        <v>1</v>
      </c>
    </row>
    <row r="20" spans="1:5" x14ac:dyDescent="0.2">
      <c r="A20" s="69" t="s">
        <v>18</v>
      </c>
      <c r="B20" s="71">
        <v>2001</v>
      </c>
      <c r="C20" s="70">
        <v>-1.5192999999999999E-3</v>
      </c>
      <c r="D20" s="71" t="s">
        <v>59</v>
      </c>
      <c r="E20" s="72" t="b">
        <v>1</v>
      </c>
    </row>
    <row r="21" spans="1:5" x14ac:dyDescent="0.2">
      <c r="A21" s="10" t="s">
        <v>19</v>
      </c>
      <c r="B21" s="5">
        <v>2001</v>
      </c>
      <c r="C21" s="6">
        <v>-1.3071000000000001E-3</v>
      </c>
      <c r="D21" s="5" t="s">
        <v>59</v>
      </c>
      <c r="E21" s="61" t="b">
        <v>1</v>
      </c>
    </row>
    <row r="22" spans="1:5" x14ac:dyDescent="0.2">
      <c r="A22" s="69" t="s">
        <v>20</v>
      </c>
      <c r="B22" s="71">
        <v>2001</v>
      </c>
      <c r="C22" s="70">
        <v>-1.3320000000000001E-3</v>
      </c>
      <c r="D22" s="71" t="s">
        <v>59</v>
      </c>
      <c r="E22" s="72" t="b">
        <v>1</v>
      </c>
    </row>
    <row r="23" spans="1:5" x14ac:dyDescent="0.2">
      <c r="A23" s="10" t="s">
        <v>21</v>
      </c>
      <c r="B23" s="5">
        <v>2001</v>
      </c>
      <c r="C23" s="6">
        <v>-1.0334999999999999E-3</v>
      </c>
      <c r="D23" s="5" t="s">
        <v>59</v>
      </c>
      <c r="E23" s="61" t="b">
        <v>1</v>
      </c>
    </row>
    <row r="24" spans="1:5" x14ac:dyDescent="0.2">
      <c r="A24" s="69" t="s">
        <v>22</v>
      </c>
      <c r="B24" s="71">
        <v>2001</v>
      </c>
      <c r="C24" s="70">
        <v>-8.7730000000000002E-4</v>
      </c>
      <c r="D24" s="71" t="s">
        <v>59</v>
      </c>
      <c r="E24" s="72" t="b">
        <v>1</v>
      </c>
    </row>
    <row r="25" spans="1:5" x14ac:dyDescent="0.2">
      <c r="A25" s="10" t="s">
        <v>40</v>
      </c>
      <c r="B25" s="5">
        <v>2001</v>
      </c>
      <c r="C25" s="6">
        <v>-2.5000000000000001E-3</v>
      </c>
      <c r="D25" s="5" t="s">
        <v>59</v>
      </c>
      <c r="E25" s="61" t="b">
        <v>1</v>
      </c>
    </row>
    <row r="26" spans="1:5" x14ac:dyDescent="0.2">
      <c r="A26" s="48" t="s">
        <v>39</v>
      </c>
      <c r="C26" s="19"/>
      <c r="D26" s="20"/>
      <c r="E26" s="21"/>
    </row>
    <row r="27" spans="1:5" ht="101.25" customHeight="1" x14ac:dyDescent="0.2">
      <c r="A27" s="597"/>
      <c r="B27" s="597"/>
      <c r="C27" s="597"/>
      <c r="D27" s="597"/>
      <c r="E27" s="597"/>
    </row>
    <row r="28" spans="1:5" ht="78" customHeight="1" x14ac:dyDescent="0.2">
      <c r="A28" s="597"/>
      <c r="B28" s="597"/>
      <c r="C28" s="597"/>
      <c r="D28" s="597"/>
      <c r="E28" s="597"/>
    </row>
    <row r="29" spans="1:5" ht="46.5" customHeight="1" x14ac:dyDescent="0.2">
      <c r="A29" s="597"/>
      <c r="B29" s="597"/>
      <c r="C29" s="597"/>
      <c r="D29" s="597"/>
      <c r="E29" s="597"/>
    </row>
    <row r="30" spans="1:5" ht="32.25" customHeight="1" x14ac:dyDescent="0.2">
      <c r="A30" s="596"/>
      <c r="B30" s="596"/>
      <c r="C30" s="596"/>
      <c r="D30" s="596"/>
      <c r="E30" s="596"/>
    </row>
    <row r="31" spans="1:5" ht="79.5" customHeight="1" x14ac:dyDescent="0.2">
      <c r="A31" s="597"/>
      <c r="B31" s="597"/>
      <c r="C31" s="597"/>
      <c r="D31" s="597"/>
      <c r="E31" s="597"/>
    </row>
    <row r="32" spans="1:5" ht="39" customHeight="1" x14ac:dyDescent="0.2">
      <c r="A32" s="596"/>
      <c r="B32" s="597"/>
      <c r="C32" s="597"/>
      <c r="D32" s="597"/>
      <c r="E32" s="597"/>
    </row>
    <row r="33" spans="1:5" ht="38.25" customHeight="1" x14ac:dyDescent="0.2">
      <c r="A33" s="596"/>
      <c r="B33" s="597"/>
      <c r="C33" s="597"/>
      <c r="D33" s="597"/>
      <c r="E33" s="597"/>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200025</xdr:colOff>
                    <xdr:row>2</xdr:row>
                    <xdr:rowOff>104775</xdr:rowOff>
                  </from>
                  <to>
                    <xdr:col>6</xdr:col>
                    <xdr:colOff>85725</xdr:colOff>
                    <xdr:row>4</xdr:row>
                    <xdr:rowOff>9525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200025</xdr:colOff>
                    <xdr:row>4</xdr:row>
                    <xdr:rowOff>28575</xdr:rowOff>
                  </from>
                  <to>
                    <xdr:col>6</xdr:col>
                    <xdr:colOff>85725</xdr:colOff>
                    <xdr:row>5</xdr:row>
                    <xdr:rowOff>66675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200025</xdr:colOff>
                    <xdr:row>5</xdr:row>
                    <xdr:rowOff>85725</xdr:rowOff>
                  </from>
                  <to>
                    <xdr:col>6</xdr:col>
                    <xdr:colOff>85725</xdr:colOff>
                    <xdr:row>7</xdr:row>
                    <xdr:rowOff>9525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200025</xdr:colOff>
                    <xdr:row>7</xdr:row>
                    <xdr:rowOff>76200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200025</xdr:colOff>
                    <xdr:row>9</xdr:row>
                    <xdr:rowOff>85725</xdr:rowOff>
                  </from>
                  <to>
                    <xdr:col>6</xdr:col>
                    <xdr:colOff>85725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200025</xdr:colOff>
                    <xdr:row>10</xdr:row>
                    <xdr:rowOff>85725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200025</xdr:colOff>
                    <xdr:row>11</xdr:row>
                    <xdr:rowOff>85725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200025</xdr:colOff>
                    <xdr:row>12</xdr:row>
                    <xdr:rowOff>85725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200025</xdr:colOff>
                    <xdr:row>13</xdr:row>
                    <xdr:rowOff>85725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200025</xdr:colOff>
                    <xdr:row>14</xdr:row>
                    <xdr:rowOff>104775</xdr:rowOff>
                  </from>
                  <to>
                    <xdr:col>5</xdr:col>
                    <xdr:colOff>0</xdr:colOff>
                    <xdr:row>16</xdr:row>
                    <xdr:rowOff>28575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200025</xdr:colOff>
                    <xdr:row>15</xdr:row>
                    <xdr:rowOff>85725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200025</xdr:colOff>
                    <xdr:row>16</xdr:row>
                    <xdr:rowOff>85725</xdr:rowOff>
                  </from>
                  <to>
                    <xdr:col>5</xdr:col>
                    <xdr:colOff>0</xdr:colOff>
                    <xdr:row>18</xdr:row>
                    <xdr:rowOff>9525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200025</xdr:colOff>
                    <xdr:row>17</xdr:row>
                    <xdr:rowOff>85725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200025</xdr:colOff>
                    <xdr:row>18</xdr:row>
                    <xdr:rowOff>85725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200025</xdr:colOff>
                    <xdr:row>19</xdr:row>
                    <xdr:rowOff>85725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200025</xdr:colOff>
                    <xdr:row>20</xdr:row>
                    <xdr:rowOff>85725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200025</xdr:colOff>
                    <xdr:row>21</xdr:row>
                    <xdr:rowOff>85725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200025</xdr:colOff>
                    <xdr:row>22</xdr:row>
                    <xdr:rowOff>85725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200025</xdr:colOff>
                    <xdr:row>23</xdr:row>
                    <xdr:rowOff>85725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B68"/>
  <sheetViews>
    <sheetView showGridLines="0" topLeftCell="A10" zoomScale="80" zoomScaleNormal="80" workbookViewId="0">
      <selection activeCell="D38" sqref="D38"/>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c r="Q1" s="203"/>
    </row>
    <row r="2" spans="1:30" ht="20.25" x14ac:dyDescent="0.3">
      <c r="A2" s="565" t="s">
        <v>253</v>
      </c>
      <c r="B2" s="565"/>
      <c r="C2" s="565"/>
      <c r="D2" s="565"/>
      <c r="E2" s="565"/>
      <c r="F2" s="565"/>
      <c r="G2" s="565"/>
      <c r="H2" s="565"/>
      <c r="I2" s="565"/>
      <c r="J2" s="565"/>
      <c r="K2" s="565"/>
      <c r="L2" s="565"/>
      <c r="M2" s="565"/>
      <c r="N2" s="565"/>
      <c r="O2" s="565"/>
      <c r="P2" s="565"/>
      <c r="Q2" s="197"/>
    </row>
    <row r="3" spans="1:30" ht="18" x14ac:dyDescent="0.25">
      <c r="A3" s="550" t="s">
        <v>94</v>
      </c>
      <c r="B3" s="550"/>
      <c r="C3" s="550"/>
      <c r="D3" s="550"/>
      <c r="E3" s="550"/>
      <c r="F3" s="550"/>
      <c r="G3" s="550"/>
      <c r="H3" s="550"/>
      <c r="I3" s="550"/>
      <c r="J3" s="550"/>
      <c r="K3" s="550"/>
      <c r="L3" s="550"/>
      <c r="M3" s="550"/>
      <c r="N3" s="550"/>
      <c r="O3" s="550"/>
      <c r="P3" s="550"/>
      <c r="Q3" s="198"/>
    </row>
    <row r="4" spans="1:30" ht="15.75" x14ac:dyDescent="0.25">
      <c r="A4" s="550"/>
      <c r="B4" s="550"/>
      <c r="C4" s="550"/>
      <c r="D4" s="550"/>
      <c r="E4" s="550"/>
      <c r="F4" s="550"/>
      <c r="G4" s="550"/>
      <c r="H4" s="550"/>
      <c r="I4" s="550"/>
      <c r="J4" s="550"/>
      <c r="K4" s="550"/>
      <c r="L4" s="550"/>
      <c r="M4" s="550"/>
      <c r="N4" s="550"/>
      <c r="O4" s="550"/>
      <c r="P4" s="550"/>
      <c r="Q4" s="199"/>
    </row>
    <row r="5" spans="1:30" x14ac:dyDescent="0.2">
      <c r="A5" s="286">
        <f ca="1">TODAY()</f>
        <v>45532</v>
      </c>
      <c r="B5" s="557" t="s">
        <v>255</v>
      </c>
      <c r="C5" s="557"/>
      <c r="D5" s="557"/>
      <c r="E5" s="557"/>
      <c r="F5" s="557"/>
      <c r="G5" s="557"/>
      <c r="H5" s="557"/>
      <c r="I5" s="557"/>
      <c r="J5" s="557"/>
      <c r="K5" s="557"/>
      <c r="L5" s="557"/>
      <c r="M5" s="557"/>
      <c r="N5" s="557"/>
      <c r="O5" s="557"/>
    </row>
    <row r="6" spans="1:30" x14ac:dyDescent="0.2">
      <c r="A6" s="548" t="s">
        <v>15</v>
      </c>
      <c r="B6" s="548"/>
      <c r="C6" s="548"/>
      <c r="D6" s="548"/>
      <c r="E6" s="548"/>
      <c r="F6" s="548"/>
      <c r="G6" s="548"/>
      <c r="H6" s="548"/>
      <c r="I6" s="548"/>
      <c r="J6" s="548"/>
      <c r="K6" s="548"/>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9</v>
      </c>
      <c r="C10" s="194" t="str">
        <f>LOOKUP(B10,S11:AD11,S12:AD12)</f>
        <v>September</v>
      </c>
      <c r="D10" s="133">
        <f>'Customer Info'!C9</f>
        <v>2024</v>
      </c>
    </row>
    <row r="11" spans="1:30" x14ac:dyDescent="0.2">
      <c r="A11" s="559"/>
      <c r="B11" s="559"/>
      <c r="C11" s="559"/>
      <c r="D11" s="559"/>
      <c r="E11" s="559"/>
      <c r="F11" s="559"/>
      <c r="G11" s="559"/>
      <c r="H11" s="559"/>
      <c r="I11" s="559"/>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53" t="s">
        <v>51</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c r="B15" s="31"/>
      <c r="C15" s="33"/>
      <c r="D15" s="33"/>
      <c r="E15" s="33"/>
      <c r="F15" s="33"/>
      <c r="G15" s="23"/>
      <c r="H15" s="31"/>
      <c r="I15" s="31"/>
      <c r="R15" t="s">
        <v>165</v>
      </c>
      <c r="S15" s="222">
        <f>'Rider Rates'!$C$29</f>
        <v>4.4387999999999997E-3</v>
      </c>
      <c r="T15" s="222">
        <f>'Rider Rates'!$C$29</f>
        <v>4.4387999999999997E-3</v>
      </c>
      <c r="U15" s="222">
        <f>'Rider Rates'!$C$29</f>
        <v>4.4387999999999997E-3</v>
      </c>
      <c r="V15" s="222">
        <f>'Rider Rates'!$C$29</f>
        <v>4.4387999999999997E-3</v>
      </c>
      <c r="W15" s="222">
        <f>'Rider Rates'!$C$29</f>
        <v>4.4387999999999997E-3</v>
      </c>
      <c r="X15" s="222">
        <f>'Rider Rates'!$B$29</f>
        <v>4.4387999999999997E-3</v>
      </c>
      <c r="Y15" s="222">
        <f>'Rider Rates'!$B$29</f>
        <v>4.4387999999999997E-3</v>
      </c>
      <c r="Z15" s="222">
        <f>'Rider Rates'!$B$29</f>
        <v>4.4387999999999997E-3</v>
      </c>
      <c r="AA15" s="222">
        <f>'Rider Rates'!$B$29</f>
        <v>4.4387999999999997E-3</v>
      </c>
      <c r="AB15" s="222">
        <f>'Rider Rates'!$C$29</f>
        <v>4.4387999999999997E-3</v>
      </c>
      <c r="AC15" s="222">
        <f>'Rider Rates'!$C$29</f>
        <v>4.4387999999999997E-3</v>
      </c>
      <c r="AD15" s="222">
        <f>'Rider Rates'!$C$29</f>
        <v>4.4387999999999997E-3</v>
      </c>
    </row>
    <row r="16" spans="1:30" x14ac:dyDescent="0.2">
      <c r="A16" s="28" t="s">
        <v>124</v>
      </c>
      <c r="B16" s="22"/>
      <c r="C16" s="22"/>
      <c r="D16" s="22"/>
      <c r="E16" s="22"/>
      <c r="F16" s="22"/>
      <c r="G16" s="560" t="s">
        <v>67</v>
      </c>
      <c r="H16" s="561"/>
      <c r="I16" s="561"/>
      <c r="J16" s="562"/>
      <c r="K16" s="22"/>
      <c r="L16" s="563" t="s">
        <v>68</v>
      </c>
      <c r="M16" s="563"/>
      <c r="N16" s="563"/>
      <c r="O16" s="563"/>
      <c r="R16" t="s">
        <v>166</v>
      </c>
      <c r="S16" s="222">
        <f>'Rider Rates'!$C$30</f>
        <v>2.4020999999999999E-3</v>
      </c>
      <c r="T16" s="222">
        <f>'Rider Rates'!$C$30</f>
        <v>2.4020999999999999E-3</v>
      </c>
      <c r="U16" s="222">
        <f>'Rider Rates'!$C$30</f>
        <v>2.4020999999999999E-3</v>
      </c>
      <c r="V16" s="222">
        <f>'Rider Rates'!$C$30</f>
        <v>2.4020999999999999E-3</v>
      </c>
      <c r="W16" s="222">
        <f>'Rider Rates'!$C$30</f>
        <v>2.4020999999999999E-3</v>
      </c>
      <c r="X16" s="222">
        <f>'Rider Rates'!$B$30</f>
        <v>4.2166E-3</v>
      </c>
      <c r="Y16" s="222">
        <f>'Rider Rates'!$B$30</f>
        <v>4.2166E-3</v>
      </c>
      <c r="Z16" s="222">
        <f>'Rider Rates'!$B$30</f>
        <v>4.2166E-3</v>
      </c>
      <c r="AA16" s="222">
        <f>'Rider Rates'!$B$30</f>
        <v>4.2166E-3</v>
      </c>
      <c r="AB16" s="222">
        <f>'Rider Rates'!$C$30</f>
        <v>2.4020999999999999E-3</v>
      </c>
      <c r="AC16" s="222">
        <f>'Rider Rates'!$C$30</f>
        <v>2.4020999999999999E-3</v>
      </c>
      <c r="AD16" s="222">
        <f>'Rider Rates'!$C$30</f>
        <v>2.4020999999999999E-3</v>
      </c>
    </row>
    <row r="17" spans="1:221" x14ac:dyDescent="0.2">
      <c r="A17" s="18"/>
      <c r="B17" s="18"/>
      <c r="C17" s="18"/>
      <c r="D17" s="18"/>
      <c r="E17" s="18"/>
      <c r="F17" s="18"/>
      <c r="G17" s="8" t="s">
        <v>64</v>
      </c>
      <c r="H17" s="8" t="s">
        <v>65</v>
      </c>
      <c r="I17" s="8" t="s">
        <v>66</v>
      </c>
      <c r="J17" s="112" t="s">
        <v>34</v>
      </c>
      <c r="K17" s="18"/>
      <c r="L17" s="287" t="s">
        <v>64</v>
      </c>
      <c r="M17" s="287" t="s">
        <v>65</v>
      </c>
      <c r="N17" s="287" t="s">
        <v>66</v>
      </c>
      <c r="O17" s="132" t="s">
        <v>34</v>
      </c>
      <c r="P17" s="43" t="s">
        <v>56</v>
      </c>
      <c r="R17" t="s">
        <v>167</v>
      </c>
      <c r="S17" s="222">
        <f>'Rider Rates'!$C$31</f>
        <v>2.8092999999999998E-3</v>
      </c>
      <c r="T17" s="222">
        <f>'Rider Rates'!$C$31</f>
        <v>2.8092999999999998E-3</v>
      </c>
      <c r="U17" s="222">
        <f>'Rider Rates'!$C$31</f>
        <v>2.8092999999999998E-3</v>
      </c>
      <c r="V17" s="222">
        <f>'Rider Rates'!$C$31</f>
        <v>2.8092999999999998E-3</v>
      </c>
      <c r="W17" s="222">
        <f>'Rider Rates'!$C$31</f>
        <v>2.8092999999999998E-3</v>
      </c>
      <c r="X17" s="222">
        <f>'Rider Rates'!$B$31</f>
        <v>3.9453999999999999E-3</v>
      </c>
      <c r="Y17" s="222">
        <f>'Rider Rates'!$B$31</f>
        <v>3.9453999999999999E-3</v>
      </c>
      <c r="Z17" s="222">
        <f>'Rider Rates'!$B$31</f>
        <v>3.9453999999999999E-3</v>
      </c>
      <c r="AA17" s="222">
        <f>'Rider Rates'!$B$31</f>
        <v>3.9453999999999999E-3</v>
      </c>
      <c r="AB17" s="222">
        <f>'Rider Rates'!$C$31</f>
        <v>2.8092999999999998E-3</v>
      </c>
      <c r="AC17" s="222">
        <f>'Rider Rates'!$C$31</f>
        <v>2.8092999999999998E-3</v>
      </c>
      <c r="AD17" s="222">
        <f>'Rider Rates'!$C$31</f>
        <v>2.8092999999999998E-3</v>
      </c>
    </row>
    <row r="18" spans="1:221" x14ac:dyDescent="0.2">
      <c r="A18" t="s">
        <v>32</v>
      </c>
      <c r="G18" s="83"/>
      <c r="H18" s="83"/>
      <c r="I18" s="125">
        <v>10</v>
      </c>
      <c r="J18" s="125">
        <f>SUM(G18:I18)</f>
        <v>10</v>
      </c>
      <c r="L18" s="125"/>
      <c r="M18" s="125"/>
      <c r="N18" s="125">
        <f>I18</f>
        <v>10</v>
      </c>
      <c r="O18" s="125">
        <f>+SUM(L18:N18)</f>
        <v>10</v>
      </c>
      <c r="P18" s="245">
        <v>44531</v>
      </c>
      <c r="R18" s="3" t="s">
        <v>199</v>
      </c>
      <c r="S18">
        <f>'Rider Rates'!$C$21</f>
        <v>7.0209999999999995E-2</v>
      </c>
      <c r="T18">
        <f>'Rider Rates'!$C$21</f>
        <v>7.0209999999999995E-2</v>
      </c>
      <c r="U18">
        <f>'Rider Rates'!$C$21</f>
        <v>7.0209999999999995E-2</v>
      </c>
      <c r="V18">
        <f>'Rider Rates'!$C$21</f>
        <v>7.0209999999999995E-2</v>
      </c>
      <c r="W18">
        <f>'Rider Rates'!$C$21</f>
        <v>7.0209999999999995E-2</v>
      </c>
      <c r="X18">
        <f>'Rider Rates'!$B$21</f>
        <v>7.0209999999999995E-2</v>
      </c>
      <c r="Y18">
        <f>'Rider Rates'!$B$21</f>
        <v>7.0209999999999995E-2</v>
      </c>
      <c r="Z18">
        <f>'Rider Rates'!$B$21</f>
        <v>7.0209999999999995E-2</v>
      </c>
      <c r="AA18">
        <f>'Rider Rates'!$B$21</f>
        <v>7.0209999999999995E-2</v>
      </c>
      <c r="AB18">
        <f>'Rider Rates'!$C$21</f>
        <v>7.0209999999999995E-2</v>
      </c>
      <c r="AC18">
        <f>'Rider Rates'!$C$21</f>
        <v>7.0209999999999995E-2</v>
      </c>
      <c r="AD18">
        <f>'Rider Rates'!$C$21</f>
        <v>7.0209999999999995E-2</v>
      </c>
    </row>
    <row r="19" spans="1:221" x14ac:dyDescent="0.2">
      <c r="A19" s="78" t="s">
        <v>185</v>
      </c>
      <c r="B19" s="18"/>
      <c r="C19" s="18"/>
      <c r="D19" s="1">
        <f>MAX($C$14,0)</f>
        <v>0</v>
      </c>
      <c r="E19" s="124" t="s">
        <v>41</v>
      </c>
      <c r="F19" s="288" t="s">
        <v>8</v>
      </c>
      <c r="G19" s="165"/>
      <c r="H19" s="83"/>
      <c r="I19" s="165">
        <v>2.6312499999999999E-2</v>
      </c>
      <c r="J19" s="126">
        <f>SUM(G19:I19)</f>
        <v>2.6312499999999999E-2</v>
      </c>
      <c r="K19" t="s">
        <v>42</v>
      </c>
      <c r="L19" s="125"/>
      <c r="M19" s="125"/>
      <c r="N19" s="125">
        <f>IF($C$14&lt;0,0,ROUND($D19*I19,2))</f>
        <v>0</v>
      </c>
      <c r="O19" s="125">
        <f>+SUM(L19:N19)</f>
        <v>0</v>
      </c>
      <c r="P19" s="245">
        <v>44531</v>
      </c>
      <c r="R19" s="3"/>
    </row>
    <row r="20" spans="1:221" x14ac:dyDescent="0.2">
      <c r="A20" s="96" t="s">
        <v>74</v>
      </c>
      <c r="B20" s="37"/>
      <c r="C20" s="37"/>
      <c r="D20" s="38"/>
      <c r="E20" s="38"/>
      <c r="F20" s="37"/>
      <c r="G20" s="37"/>
      <c r="I20" s="40"/>
      <c r="K20" s="39"/>
      <c r="L20" s="95"/>
      <c r="M20" s="54"/>
      <c r="N20" s="95">
        <f>SUM(N18:N19)</f>
        <v>10</v>
      </c>
      <c r="O20" s="95">
        <f>SUM(O18:O19)</f>
        <v>10</v>
      </c>
      <c r="R20" s="107"/>
      <c r="S20" s="108"/>
      <c r="T20" s="109"/>
      <c r="U20" s="78"/>
      <c r="V20" s="110"/>
      <c r="W20" s="78"/>
      <c r="X20" s="78"/>
      <c r="Y20" s="78"/>
      <c r="Z20" s="78"/>
      <c r="AA20" s="78"/>
      <c r="AB20" s="78"/>
      <c r="AC20" s="78"/>
      <c r="AD20" s="78"/>
    </row>
    <row r="21" spans="1:221" x14ac:dyDescent="0.2">
      <c r="A21" s="170"/>
      <c r="B21" s="170"/>
      <c r="C21" s="170"/>
      <c r="D21" s="171"/>
      <c r="E21" s="171"/>
      <c r="F21" s="170"/>
      <c r="G21" s="171"/>
      <c r="H21" s="171"/>
      <c r="I21" s="171"/>
      <c r="J21" s="171"/>
      <c r="K21" s="172"/>
      <c r="L21" s="171"/>
      <c r="M21" s="171"/>
      <c r="N21" s="171"/>
      <c r="O21" s="171"/>
      <c r="P21" s="171"/>
      <c r="R21" s="107"/>
      <c r="S21" s="108"/>
      <c r="T21" s="109"/>
      <c r="U21" s="78"/>
      <c r="V21" s="110"/>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48" t="s">
        <v>69</v>
      </c>
      <c r="B22" s="166"/>
      <c r="C22" s="166"/>
      <c r="D22" s="167"/>
      <c r="E22" s="167"/>
      <c r="F22" s="166"/>
      <c r="G22" s="167"/>
      <c r="H22" s="167"/>
      <c r="I22" s="167"/>
      <c r="J22" s="167"/>
      <c r="K22" s="167"/>
      <c r="L22" s="167"/>
      <c r="M22" s="167"/>
      <c r="N22" s="167"/>
      <c r="O22" s="167"/>
      <c r="P22" s="167"/>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row>
    <row r="23" spans="1:221" x14ac:dyDescent="0.2">
      <c r="A23" s="151"/>
      <c r="B23" s="151"/>
      <c r="C23" s="151"/>
      <c r="D23" s="151"/>
      <c r="E23" s="151"/>
      <c r="F23" s="151"/>
      <c r="G23" s="151"/>
      <c r="H23" s="151"/>
      <c r="I23" s="151"/>
      <c r="J23" s="151"/>
      <c r="K23" s="151"/>
      <c r="L23" s="151"/>
      <c r="M23" s="151"/>
      <c r="N23" s="151"/>
      <c r="O23" s="151"/>
      <c r="P23" s="106"/>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99" t="s">
        <v>78</v>
      </c>
      <c r="B24" s="176"/>
      <c r="C24" s="176"/>
      <c r="D24" s="100">
        <f>IF($C$14&lt;0,0,IF($C$14&gt;833000,833000,$C$14))</f>
        <v>0</v>
      </c>
      <c r="E24" s="101" t="s">
        <v>41</v>
      </c>
      <c r="F24" s="102" t="s">
        <v>8</v>
      </c>
      <c r="G24" s="103"/>
      <c r="H24" s="103"/>
      <c r="I24" s="103">
        <f>'Rider Rates'!$B$4</f>
        <v>5.9216E-3</v>
      </c>
      <c r="J24" s="201">
        <f t="shared" ref="J24:J46" si="0">SUM(G24:I24)</f>
        <v>5.9216E-3</v>
      </c>
      <c r="K24" s="104" t="s">
        <v>42</v>
      </c>
      <c r="L24" s="105"/>
      <c r="M24" s="105"/>
      <c r="N24" s="105">
        <f t="shared" ref="N24:N29" si="1">ROUND(D24*I24,2)</f>
        <v>0</v>
      </c>
      <c r="O24" s="105">
        <f t="shared" ref="O24:O37" si="2">SUM(L24:N24)</f>
        <v>0</v>
      </c>
      <c r="P24" s="245">
        <f>'Rider Rates'!$D$4</f>
        <v>45293</v>
      </c>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78"/>
      <c r="C25" s="78"/>
      <c r="D25" s="123">
        <f>IF($C$14&gt;833000,$C$14-833000,0)</f>
        <v>0</v>
      </c>
      <c r="E25" s="101" t="s">
        <v>41</v>
      </c>
      <c r="F25" s="102" t="s">
        <v>8</v>
      </c>
      <c r="G25" s="103"/>
      <c r="H25" s="103"/>
      <c r="I25" s="103">
        <f>'Rider Rates'!$B$5</f>
        <v>1.7560000000000001E-4</v>
      </c>
      <c r="J25" s="201">
        <f t="shared" si="0"/>
        <v>1.7560000000000001E-4</v>
      </c>
      <c r="K25" s="104" t="s">
        <v>42</v>
      </c>
      <c r="L25" s="105"/>
      <c r="M25" s="105"/>
      <c r="N25" s="105">
        <f t="shared" si="1"/>
        <v>0</v>
      </c>
      <c r="O25" s="105">
        <f t="shared" si="2"/>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96</v>
      </c>
      <c r="B26" s="78"/>
      <c r="C26" s="78"/>
      <c r="D26" s="100">
        <f>IF($C$14&lt;0,0,IF($C$14&gt;2000,2000,$C$14))</f>
        <v>0</v>
      </c>
      <c r="E26" s="101" t="s">
        <v>41</v>
      </c>
      <c r="F26" s="102" t="s">
        <v>8</v>
      </c>
      <c r="G26" s="103"/>
      <c r="H26" s="103"/>
      <c r="I26" s="177">
        <f>'Rider Rates'!$B$8</f>
        <v>4.6499999999999996E-3</v>
      </c>
      <c r="J26" s="177">
        <f t="shared" si="0"/>
        <v>4.6499999999999996E-3</v>
      </c>
      <c r="K26" s="104" t="s">
        <v>42</v>
      </c>
      <c r="L26" s="105"/>
      <c r="M26" s="105"/>
      <c r="N26" s="105">
        <f t="shared" si="1"/>
        <v>0</v>
      </c>
      <c r="O26" s="105">
        <f t="shared" si="2"/>
        <v>0</v>
      </c>
      <c r="P26" s="245">
        <f>'Rider Rates'!$D$7</f>
        <v>44531</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IF($C$14&lt;=2000,0,IF($C$14=0,0,IF($C$14-2000&gt;13000,13000,$C$14-2000)))</f>
        <v>0</v>
      </c>
      <c r="E27" s="101" t="s">
        <v>41</v>
      </c>
      <c r="F27" s="102" t="s">
        <v>8</v>
      </c>
      <c r="G27" s="103"/>
      <c r="H27" s="103"/>
      <c r="I27" s="177">
        <f>'Rider Rates'!$B$9</f>
        <v>4.1900000000000001E-3</v>
      </c>
      <c r="J27" s="177">
        <f t="shared" si="0"/>
        <v>4.1900000000000001E-3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IF($C$14=0,0,IF($C$14-15000&gt;=0,$C$14-15000,0))</f>
        <v>0</v>
      </c>
      <c r="E28" s="101" t="s">
        <v>41</v>
      </c>
      <c r="F28" s="102" t="s">
        <v>8</v>
      </c>
      <c r="G28" s="103"/>
      <c r="H28" s="103"/>
      <c r="I28" s="177">
        <f>'Rider Rates'!$B$10</f>
        <v>3.63E-3</v>
      </c>
      <c r="J28" s="177">
        <f t="shared" si="0"/>
        <v>3.63E-3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210" t="s">
        <v>159</v>
      </c>
      <c r="B29" s="78"/>
      <c r="C29" s="78"/>
      <c r="D29" s="100">
        <f>IF($C$14&lt;0,0,$C$14)</f>
        <v>0</v>
      </c>
      <c r="E29" s="101" t="s">
        <v>41</v>
      </c>
      <c r="F29" s="102" t="s">
        <v>8</v>
      </c>
      <c r="G29" s="103"/>
      <c r="H29" s="103"/>
      <c r="I29" s="103">
        <f>'Rider Rates'!B15</f>
        <v>0</v>
      </c>
      <c r="J29" s="103">
        <f>SUM(G29:I29)</f>
        <v>0</v>
      </c>
      <c r="K29" s="104" t="s">
        <v>42</v>
      </c>
      <c r="L29" s="105"/>
      <c r="M29" s="105"/>
      <c r="N29" s="105">
        <f t="shared" si="1"/>
        <v>0</v>
      </c>
      <c r="O29" s="105">
        <f t="shared" si="2"/>
        <v>0</v>
      </c>
      <c r="P29" s="245">
        <f>'Rider Rates'!$D$15</f>
        <v>45505</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41" t="s">
        <v>245</v>
      </c>
      <c r="B30" s="78"/>
      <c r="C30" s="78"/>
      <c r="D30" s="290">
        <f>$N$20</f>
        <v>10</v>
      </c>
      <c r="E30" s="101" t="s">
        <v>121</v>
      </c>
      <c r="F30" s="102" t="s">
        <v>8</v>
      </c>
      <c r="G30" s="103"/>
      <c r="H30" s="103"/>
      <c r="I30" s="178">
        <f>'Rider Rates'!$B$18</f>
        <v>0</v>
      </c>
      <c r="J30" s="178">
        <f>SUM(G30:I30)</f>
        <v>0</v>
      </c>
      <c r="K30" s="104"/>
      <c r="L30" s="105"/>
      <c r="M30" s="105"/>
      <c r="N30" s="105">
        <f>ROUND($D$30*'Rider Rates'!$B$18,2)+ROUND($D$30*'Rider Rates'!$E$18,2)</f>
        <v>0</v>
      </c>
      <c r="O30" s="105">
        <f t="shared" si="2"/>
        <v>0</v>
      </c>
      <c r="P30" s="245">
        <f>MAX('Rider Rates'!$D$18,'Rider Rates'!$F$18)</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200</v>
      </c>
      <c r="B31" s="78"/>
      <c r="C31" s="78"/>
      <c r="D31" s="100">
        <f>'Customer Info'!$B$22+'Customer Info'!$B$23-'Customer Info'!$B$24</f>
        <v>0</v>
      </c>
      <c r="E31" s="101" t="s">
        <v>41</v>
      </c>
      <c r="F31" s="102" t="s">
        <v>8</v>
      </c>
      <c r="G31" s="103">
        <f>LOOKUP($B$10,$S$11:$AD$11,S18:AD18)</f>
        <v>7.0209999999999995E-2</v>
      </c>
      <c r="H31" s="103"/>
      <c r="I31" s="103"/>
      <c r="J31" s="237">
        <f>SUM(G31:H31)</f>
        <v>7.0209999999999995E-2</v>
      </c>
      <c r="K31" s="104" t="s">
        <v>42</v>
      </c>
      <c r="L31" s="105">
        <f>ROUND(D31*G31,2)</f>
        <v>0</v>
      </c>
      <c r="M31" s="105"/>
      <c r="N31" s="105"/>
      <c r="O31" s="105">
        <f t="shared" si="2"/>
        <v>0</v>
      </c>
      <c r="P31" s="245">
        <f>'Rider Rates'!$D$29</f>
        <v>45444</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173</v>
      </c>
      <c r="B32" s="78"/>
      <c r="C32" s="78"/>
      <c r="D32" s="100">
        <f>MIN(('Customer Info'!$B$22+'Customer Info'!$B$23-'Customer Info'!$B$24),750)</f>
        <v>0</v>
      </c>
      <c r="E32" s="101" t="s">
        <v>41</v>
      </c>
      <c r="F32" s="102" t="s">
        <v>8</v>
      </c>
      <c r="G32" s="165">
        <f>LOOKUP($B$10,$S$11:$AD11,S15:AD15)</f>
        <v>4.4387999999999997E-3</v>
      </c>
      <c r="H32" s="103"/>
      <c r="I32" s="103"/>
      <c r="J32" s="237">
        <f>SUM(G32:H32)</f>
        <v>4.4387999999999997E-3</v>
      </c>
      <c r="K32" s="104" t="s">
        <v>42</v>
      </c>
      <c r="L32" s="105">
        <f>ROUND(D32*G32,2)</f>
        <v>0</v>
      </c>
      <c r="M32" s="105"/>
      <c r="N32" s="105"/>
      <c r="O32" s="105">
        <f t="shared" si="2"/>
        <v>0</v>
      </c>
      <c r="P32" s="245">
        <f>'Rider Rates'!$D$29</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174</v>
      </c>
      <c r="B33" s="78"/>
      <c r="C33" s="78"/>
      <c r="D33" s="100">
        <f>IF(('Customer Info'!$B$22+'Customer Info'!$B$23-'Customer Info'!$B$24)&lt;=750,0,IF(C14-750&gt;150,150,C14-750))</f>
        <v>0</v>
      </c>
      <c r="E33" s="101" t="s">
        <v>41</v>
      </c>
      <c r="F33" s="102" t="s">
        <v>8</v>
      </c>
      <c r="G33" s="165">
        <f>LOOKUP($B$10,$S$11:$AD11,S16:AD16)</f>
        <v>4.2166E-3</v>
      </c>
      <c r="H33" s="103"/>
      <c r="I33" s="103"/>
      <c r="J33" s="237">
        <f>SUM(G33:H33)</f>
        <v>4.2166E-3</v>
      </c>
      <c r="K33" s="104" t="s">
        <v>42</v>
      </c>
      <c r="L33" s="105">
        <f>ROUND(D33*G33,2)</f>
        <v>0</v>
      </c>
      <c r="M33" s="105"/>
      <c r="N33" s="105"/>
      <c r="O33" s="105">
        <f t="shared" si="2"/>
        <v>0</v>
      </c>
      <c r="P33" s="245">
        <f>'Rider Rates'!$D$30</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175</v>
      </c>
      <c r="B34" s="78"/>
      <c r="C34" s="78"/>
      <c r="D34" s="100">
        <f>IF(C14=0,0,IF(C14-900&gt;=0,C14-900,0))</f>
        <v>0</v>
      </c>
      <c r="E34" s="101" t="s">
        <v>41</v>
      </c>
      <c r="F34" s="102" t="s">
        <v>8</v>
      </c>
      <c r="G34" s="165">
        <f>LOOKUP($B$10,$S$11:$AD11,S17:AD17)</f>
        <v>3.9453999999999999E-3</v>
      </c>
      <c r="H34" s="103"/>
      <c r="I34" s="103"/>
      <c r="J34" s="237">
        <f>SUM(G34:H34)</f>
        <v>3.9453999999999999E-3</v>
      </c>
      <c r="K34" s="104" t="s">
        <v>42</v>
      </c>
      <c r="L34" s="105">
        <f>ROUND(D34*G34,2)</f>
        <v>0</v>
      </c>
      <c r="M34" s="105"/>
      <c r="N34" s="105"/>
      <c r="O34" s="105">
        <f t="shared" si="2"/>
        <v>0</v>
      </c>
      <c r="P34" s="245">
        <f>'Rider Rates'!$D$31</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201</v>
      </c>
      <c r="B35" s="78"/>
      <c r="C35" s="78"/>
      <c r="D35" s="100">
        <f>'Customer Info'!$B$22+'Customer Info'!$B$23-'Customer Info'!$B$24</f>
        <v>0</v>
      </c>
      <c r="E35" s="101" t="s">
        <v>41</v>
      </c>
      <c r="F35" s="102" t="s">
        <v>8</v>
      </c>
      <c r="G35" s="103">
        <f>'Rider Rates'!B49</f>
        <v>-3.1569999999999998E-4</v>
      </c>
      <c r="H35" s="103"/>
      <c r="I35" s="103"/>
      <c r="J35" s="237">
        <f>SUM(G35:H35)</f>
        <v>-3.1569999999999998E-4</v>
      </c>
      <c r="K35" s="104" t="s">
        <v>42</v>
      </c>
      <c r="L35" s="105">
        <f>ROUND(D35*G35,2)</f>
        <v>0</v>
      </c>
      <c r="M35" s="105"/>
      <c r="N35" s="105"/>
      <c r="O35" s="105">
        <f>SUM(L35:N35)</f>
        <v>0</v>
      </c>
      <c r="P35" s="245">
        <f>'Rider Rates'!$D$49</f>
        <v>45471</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218</v>
      </c>
      <c r="B36" s="78"/>
      <c r="C36" s="78"/>
      <c r="D36" s="100"/>
      <c r="E36" s="101" t="s">
        <v>114</v>
      </c>
      <c r="F36" s="102"/>
      <c r="G36" s="103"/>
      <c r="H36" s="103"/>
      <c r="I36" s="103">
        <f>'Rider Rates'!D52</f>
        <v>1.39</v>
      </c>
      <c r="J36" s="103">
        <f>SUM(G36:I36)</f>
        <v>1.39</v>
      </c>
      <c r="K36" s="104" t="s">
        <v>42</v>
      </c>
      <c r="L36" s="105"/>
      <c r="M36" s="105"/>
      <c r="N36" s="105">
        <f>J36</f>
        <v>1.39</v>
      </c>
      <c r="O36" s="105">
        <f>SUM(L36:N36)</f>
        <v>1.39</v>
      </c>
      <c r="P36" s="245">
        <f>'Rider Rates'!E52</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197</v>
      </c>
      <c r="B37" s="78"/>
      <c r="C37" s="78"/>
      <c r="D37" s="100">
        <f>IF($C$14&lt;0,0,$C$14)</f>
        <v>0</v>
      </c>
      <c r="E37" s="113" t="s">
        <v>41</v>
      </c>
      <c r="F37" s="102" t="s">
        <v>8</v>
      </c>
      <c r="G37" s="103"/>
      <c r="H37" s="103">
        <f>'Rider Rates'!$B$59</f>
        <v>4.3837099999999997E-2</v>
      </c>
      <c r="I37" s="103"/>
      <c r="J37" s="103">
        <f>SUM(G37:I37)</f>
        <v>4.3837099999999997E-2</v>
      </c>
      <c r="K37" s="104" t="s">
        <v>42</v>
      </c>
      <c r="L37" s="105"/>
      <c r="M37" s="105">
        <f>ROUND(D37*H37,2)</f>
        <v>0</v>
      </c>
      <c r="N37" s="205"/>
      <c r="O37" s="105">
        <f t="shared" si="2"/>
        <v>0</v>
      </c>
      <c r="P37" s="245">
        <f>'Rider Rates'!$D$59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347</v>
      </c>
      <c r="B38" s="78"/>
      <c r="C38" s="78"/>
      <c r="D38" s="100">
        <f>IF($C$14&lt;0,0,$C$14)</f>
        <v>0</v>
      </c>
      <c r="E38" s="101" t="s">
        <v>41</v>
      </c>
      <c r="F38" s="102" t="s">
        <v>8</v>
      </c>
      <c r="G38" s="103"/>
      <c r="H38" s="103"/>
      <c r="I38" s="103">
        <f>'Rider Rates'!$B$70</f>
        <v>8.6240000000000004E-4</v>
      </c>
      <c r="J38" s="103">
        <f t="shared" ref="J38" si="3">SUM(G38:I38)</f>
        <v>8.6240000000000004E-4</v>
      </c>
      <c r="K38" s="104" t="s">
        <v>42</v>
      </c>
      <c r="L38" s="105"/>
      <c r="M38" s="105"/>
      <c r="N38" s="105">
        <f>ROUND($D$38*'Rider Rates'!$B$70,2)</f>
        <v>0</v>
      </c>
      <c r="O38" s="105">
        <f>SUM(L38:N38)</f>
        <v>0</v>
      </c>
      <c r="P38" s="245">
        <f>'Rider Rates'!$D$70</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95</v>
      </c>
      <c r="B39" s="78"/>
      <c r="C39" s="78"/>
      <c r="D39" s="100">
        <f>IF('Customer Info'!C35=TRUE,0,IF($C$14&lt;0,0,$C$14))</f>
        <v>0</v>
      </c>
      <c r="E39" s="101" t="s">
        <v>41</v>
      </c>
      <c r="F39" s="102" t="s">
        <v>8</v>
      </c>
      <c r="G39" s="103"/>
      <c r="H39" s="103"/>
      <c r="I39" s="103">
        <f>'Rider Rates'!$B$73+'Rider Rates'!$C$73</f>
        <v>0</v>
      </c>
      <c r="J39" s="103">
        <f t="shared" si="0"/>
        <v>0</v>
      </c>
      <c r="K39" s="104" t="s">
        <v>42</v>
      </c>
      <c r="L39" s="105"/>
      <c r="M39" s="105"/>
      <c r="N39" s="105">
        <f>ROUND($D$39*'Rider Rates'!$B$73,2)+ROUND($D$39*'Rider Rates'!$C$73,2)</f>
        <v>0</v>
      </c>
      <c r="O39" s="105">
        <f>SUM(L39:N39)</f>
        <v>0</v>
      </c>
      <c r="P39" s="245">
        <f>'Rider Rates'!$D$73</f>
        <v>44531</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80</v>
      </c>
      <c r="B40" s="78"/>
      <c r="C40" s="78"/>
      <c r="D40" s="195">
        <f>$N$20</f>
        <v>10</v>
      </c>
      <c r="E40" s="101" t="s">
        <v>121</v>
      </c>
      <c r="F40" s="102" t="s">
        <v>8</v>
      </c>
      <c r="G40" s="111"/>
      <c r="H40" s="112"/>
      <c r="I40" s="120">
        <f>'Rider Rates'!$B$89</f>
        <v>2.9347000000000002E-2</v>
      </c>
      <c r="J40" s="120">
        <f t="shared" si="0"/>
        <v>2.9347000000000002E-2</v>
      </c>
      <c r="K40" s="104"/>
      <c r="L40" s="105"/>
      <c r="M40" s="105"/>
      <c r="N40" s="105">
        <f>ROUND(D40*I40,2)</f>
        <v>0.28999999999999998</v>
      </c>
      <c r="O40" s="105">
        <f>SUM(L40:N40)</f>
        <v>0.28999999999999998</v>
      </c>
      <c r="P40" s="245">
        <f>'Rider Rates'!$D$89</f>
        <v>45383</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$N$20</f>
        <v>10</v>
      </c>
      <c r="E41" s="101" t="s">
        <v>121</v>
      </c>
      <c r="F41" s="102" t="s">
        <v>8</v>
      </c>
      <c r="G41" s="114"/>
      <c r="H41" s="115"/>
      <c r="I41" s="120">
        <f>'Rider Rates'!$B$91</f>
        <v>6.6985699999999995E-2</v>
      </c>
      <c r="J41" s="120">
        <f t="shared" si="0"/>
        <v>6.6985699999999995E-2</v>
      </c>
      <c r="K41" s="104"/>
      <c r="L41" s="105"/>
      <c r="M41" s="105"/>
      <c r="N41" s="105">
        <f>ROUND(D41*I41,2)</f>
        <v>0.67</v>
      </c>
      <c r="O41" s="105">
        <f>SUM(L41:N41)</f>
        <v>0.67</v>
      </c>
      <c r="P41" s="245">
        <f>'Rider Rates'!$D$91</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214</v>
      </c>
      <c r="B42" s="78"/>
      <c r="C42" s="78"/>
      <c r="D42" s="195"/>
      <c r="E42" s="113" t="s">
        <v>114</v>
      </c>
      <c r="F42" s="106"/>
      <c r="G42" s="114"/>
      <c r="H42" s="115"/>
      <c r="I42" s="196">
        <f>'Rider Rates'!$B$94</f>
        <v>1.42</v>
      </c>
      <c r="J42" s="196">
        <f t="shared" si="0"/>
        <v>1.42</v>
      </c>
      <c r="K42" s="104"/>
      <c r="L42" s="105"/>
      <c r="M42" s="105"/>
      <c r="N42" s="105">
        <f>I42</f>
        <v>1.42</v>
      </c>
      <c r="O42" s="105">
        <f>SUM(L42:N42)</f>
        <v>1.42</v>
      </c>
      <c r="P42" s="245">
        <f>'Rider Rates'!$D$94</f>
        <v>45442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247</v>
      </c>
      <c r="B43" s="78"/>
      <c r="C43" s="78"/>
      <c r="D43" s="100">
        <f>IF($C$14&lt;0,0,$C$14)</f>
        <v>0</v>
      </c>
      <c r="E43" s="101" t="s">
        <v>41</v>
      </c>
      <c r="F43" s="102" t="s">
        <v>8</v>
      </c>
      <c r="G43" s="103"/>
      <c r="H43" s="103"/>
      <c r="I43" s="103"/>
      <c r="J43" s="103">
        <f>'Rider Rates'!$B$98</f>
        <v>0</v>
      </c>
      <c r="K43" s="104" t="s">
        <v>42</v>
      </c>
      <c r="L43" s="105"/>
      <c r="M43" s="105"/>
      <c r="N43" s="105"/>
      <c r="O43" s="105">
        <f>ROUND($D43*('Rider Rates'!B$98),2)</f>
        <v>0</v>
      </c>
      <c r="P43" s="245">
        <f>'Rider Rates'!$D$98</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$N$20</f>
        <v>10</v>
      </c>
      <c r="E44" s="101" t="s">
        <v>121</v>
      </c>
      <c r="F44" s="102" t="s">
        <v>8</v>
      </c>
      <c r="G44" s="114"/>
      <c r="H44" s="115"/>
      <c r="I44" s="120">
        <f>'Rider Rates'!$B$109</f>
        <v>0.211176</v>
      </c>
      <c r="J44" s="120">
        <f t="shared" si="0"/>
        <v>0.211176</v>
      </c>
      <c r="K44" s="104"/>
      <c r="L44" s="105"/>
      <c r="M44" s="105"/>
      <c r="N44" s="105">
        <f>ROUND(D44*I44,2)</f>
        <v>2.11</v>
      </c>
      <c r="O44" s="105">
        <f t="shared" ref="O44:O49" si="4">SUM(L44:N44)</f>
        <v>2.11</v>
      </c>
      <c r="P44" s="245">
        <f>'Rider Rates'!$D$109</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114</v>
      </c>
      <c r="F45" s="106"/>
      <c r="G45" s="114"/>
      <c r="H45" s="115"/>
      <c r="I45" s="196">
        <f>'Rider Rates'!$B$112</f>
        <v>0</v>
      </c>
      <c r="J45" s="196">
        <f t="shared" si="0"/>
        <v>0</v>
      </c>
      <c r="K45" s="104"/>
      <c r="L45" s="105"/>
      <c r="M45" s="105"/>
      <c r="N45" s="105">
        <f>I45</f>
        <v>0</v>
      </c>
      <c r="O45" s="105">
        <f t="shared" si="4"/>
        <v>0</v>
      </c>
      <c r="P45" s="245">
        <f>'Rider Rates'!$D$112</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225</v>
      </c>
      <c r="B46" s="78"/>
      <c r="C46" s="78"/>
      <c r="D46" s="195"/>
      <c r="E46" s="113" t="s">
        <v>114</v>
      </c>
      <c r="F46" s="106"/>
      <c r="G46" s="114"/>
      <c r="H46" s="115"/>
      <c r="I46" s="258">
        <f>'Rider Rates'!B125</f>
        <v>1.26</v>
      </c>
      <c r="J46" s="196">
        <f t="shared" si="0"/>
        <v>1.26</v>
      </c>
      <c r="K46" s="104"/>
      <c r="L46" s="105"/>
      <c r="M46" s="105"/>
      <c r="N46" s="260">
        <f>I46</f>
        <v>1.26</v>
      </c>
      <c r="O46" s="105">
        <f t="shared" si="4"/>
        <v>1.26</v>
      </c>
      <c r="P46" s="245">
        <f>'Rider Rates'!D125</f>
        <v>45226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Info'!$B$22+'Customer Info'!$B$23-'Customer Info'!$B$24</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4"/>
        <v>0</v>
      </c>
      <c r="P47" s="245">
        <f>'Rider Rates'!$D$116</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216</v>
      </c>
      <c r="B48" s="78"/>
      <c r="C48" s="78"/>
      <c r="D48" s="100">
        <f>IF($C$14&lt;1,0,$C$14)</f>
        <v>0</v>
      </c>
      <c r="E48" s="101" t="s">
        <v>41</v>
      </c>
      <c r="F48" s="249" t="s">
        <v>8</v>
      </c>
      <c r="G48" s="103"/>
      <c r="H48" s="103"/>
      <c r="I48" s="237">
        <f>'Rider Rates'!$B$121</f>
        <v>-2.3000000000000001E-4</v>
      </c>
      <c r="J48" s="237">
        <f>SUM(G48:I48)</f>
        <v>-2.3000000000000001E-4</v>
      </c>
      <c r="K48" s="104" t="s">
        <v>42</v>
      </c>
      <c r="L48" s="105"/>
      <c r="M48" s="105"/>
      <c r="N48" s="105">
        <f>D48*J48</f>
        <v>0</v>
      </c>
      <c r="O48" s="105">
        <f t="shared" si="4"/>
        <v>0</v>
      </c>
      <c r="P48" s="245">
        <f>'Rider Rates'!D121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238</v>
      </c>
      <c r="B49" s="78"/>
      <c r="C49" s="78"/>
      <c r="D49" s="100"/>
      <c r="E49" s="101" t="s">
        <v>114</v>
      </c>
      <c r="F49" s="102" t="s">
        <v>8</v>
      </c>
      <c r="G49" s="263"/>
      <c r="H49" s="263"/>
      <c r="I49" s="263">
        <f>'Rider Rates'!$B$129</f>
        <v>0.1</v>
      </c>
      <c r="J49" s="263">
        <f>SUM(G49:I49)</f>
        <v>0.1</v>
      </c>
      <c r="K49" s="104"/>
      <c r="L49" s="209"/>
      <c r="M49" s="209"/>
      <c r="N49" s="209">
        <f>J49</f>
        <v>0.1</v>
      </c>
      <c r="O49" s="209">
        <f t="shared" si="4"/>
        <v>0.1</v>
      </c>
      <c r="P49" s="264">
        <f>'Rider Rates'!$E$129</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250</v>
      </c>
      <c r="B50" s="78"/>
      <c r="C50" s="78"/>
      <c r="D50" s="100">
        <f>C14</f>
        <v>0</v>
      </c>
      <c r="E50" s="101" t="s">
        <v>41</v>
      </c>
      <c r="F50" s="249" t="s">
        <v>8</v>
      </c>
      <c r="G50" s="103"/>
      <c r="H50" s="103"/>
      <c r="I50" s="103">
        <f>'Rider Rates'!$B$134</f>
        <v>0</v>
      </c>
      <c r="J50" s="237">
        <f>SUM(G50:I50)</f>
        <v>0</v>
      </c>
      <c r="K50" s="104" t="s">
        <v>42</v>
      </c>
      <c r="L50" s="105"/>
      <c r="M50" s="105"/>
      <c r="N50" s="105">
        <f>D50*J50</f>
        <v>0</v>
      </c>
      <c r="O50" s="105">
        <f>SUM(L50:N50)</f>
        <v>0</v>
      </c>
      <c r="P50" s="245">
        <f>'Rider Rates'!D134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249</v>
      </c>
      <c r="B51" s="78"/>
      <c r="C51" s="78"/>
      <c r="D51" s="100"/>
      <c r="E51" s="101" t="s">
        <v>114</v>
      </c>
      <c r="F51" s="102" t="s">
        <v>8</v>
      </c>
      <c r="G51" s="263"/>
      <c r="H51" s="263"/>
      <c r="I51" s="263">
        <f>'Rider Rates'!$B$141</f>
        <v>0</v>
      </c>
      <c r="J51" s="263">
        <f>SUM(G51:I51)</f>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251</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70</v>
      </c>
      <c r="B53" s="148"/>
      <c r="C53" s="148"/>
      <c r="D53" s="180"/>
      <c r="E53" s="181"/>
      <c r="F53" s="182"/>
      <c r="G53" s="182"/>
      <c r="H53" s="182"/>
      <c r="I53" s="182"/>
      <c r="J53" s="182"/>
      <c r="K53" s="183"/>
      <c r="L53" s="169">
        <f>SUM(L24:L52)</f>
        <v>0</v>
      </c>
      <c r="M53" s="169">
        <f>SUM(M24:M52)</f>
        <v>0</v>
      </c>
      <c r="N53" s="169">
        <f>SUM(N24:N52)</f>
        <v>7.2399999999999993</v>
      </c>
      <c r="O53" s="169">
        <f>SUM(O24:O52)</f>
        <v>7.2399999999999993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0"/>
      <c r="B55" s="170"/>
      <c r="C55" s="170"/>
      <c r="D55" s="170"/>
      <c r="E55" s="170"/>
      <c r="F55" s="170"/>
      <c r="G55" s="170"/>
      <c r="H55" s="170"/>
      <c r="I55" s="170"/>
      <c r="J55" s="170"/>
      <c r="K55" s="170"/>
      <c r="L55" s="186">
        <f>L20+L53</f>
        <v>0</v>
      </c>
      <c r="M55" s="186">
        <f>M20+M53</f>
        <v>0</v>
      </c>
      <c r="N55" s="186">
        <f>N20+N53</f>
        <v>17.239999999999998</v>
      </c>
      <c r="O55" s="187">
        <f>O20+O53</f>
        <v>17.239999999999998</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66" t="s">
        <v>92</v>
      </c>
      <c r="B57" s="78"/>
      <c r="C57" s="78"/>
      <c r="D57" s="78"/>
      <c r="E57" s="78"/>
      <c r="F57" s="78"/>
      <c r="G57" s="78"/>
      <c r="H57" s="78"/>
      <c r="I57" s="78"/>
      <c r="J57" s="78"/>
      <c r="K57" s="78"/>
      <c r="L57" s="78"/>
      <c r="M57" s="78"/>
      <c r="N57" s="78"/>
      <c r="O57" s="109">
        <f>IF($C$14&lt;=0,MIN(O18,O55), O18)</f>
        <v>10</v>
      </c>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166"/>
      <c r="C58" s="166"/>
      <c r="D58" s="166"/>
      <c r="E58" s="166"/>
      <c r="F58" s="166"/>
      <c r="G58" s="166"/>
      <c r="H58" s="166"/>
      <c r="I58" s="78"/>
      <c r="J58" s="78"/>
      <c r="K58" s="78"/>
      <c r="L58" s="78"/>
      <c r="M58" s="78"/>
      <c r="N58" s="151"/>
      <c r="O58" s="151"/>
      <c r="P58" s="151"/>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48" t="s">
        <v>116</v>
      </c>
      <c r="B59" s="151"/>
      <c r="C59" s="151"/>
      <c r="D59" s="151"/>
      <c r="E59" s="151"/>
      <c r="F59" s="151"/>
      <c r="G59" s="151"/>
      <c r="H59" s="151"/>
      <c r="I59" s="151"/>
      <c r="J59" s="151"/>
      <c r="K59" s="151"/>
      <c r="L59" s="151"/>
      <c r="M59" s="151"/>
      <c r="N59" s="151"/>
      <c r="O59" s="190">
        <f>IF($C$14&lt;0,O55,IF(O55&gt;O57,O55,I54))</f>
        <v>17.239999999999998</v>
      </c>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51"/>
      <c r="C60" s="151"/>
      <c r="D60" s="151"/>
      <c r="E60" s="151"/>
      <c r="F60" s="151"/>
      <c r="G60" s="151"/>
      <c r="H60" s="151"/>
      <c r="I60" s="151"/>
      <c r="J60" s="151"/>
      <c r="K60" s="151"/>
      <c r="L60" s="151"/>
      <c r="M60" s="151"/>
      <c r="N60" s="151"/>
      <c r="O60" s="138"/>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78"/>
      <c r="B61" s="166"/>
      <c r="C61" s="166"/>
      <c r="D61" s="166"/>
      <c r="E61" s="166"/>
      <c r="F61" s="166"/>
      <c r="G61" s="166"/>
      <c r="H61" s="166"/>
      <c r="I61" s="166" t="s">
        <v>120</v>
      </c>
      <c r="J61" s="166"/>
      <c r="K61" s="166"/>
      <c r="L61" s="191"/>
      <c r="M61" s="191"/>
      <c r="N61" s="191"/>
      <c r="O61" s="191">
        <f>ROUND(IF($C$14&lt;1,0,O55/($C$14*100)*10000),2)</f>
        <v>0</v>
      </c>
      <c r="P61" s="37" t="s">
        <v>86</v>
      </c>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row>
    <row r="62" spans="1:236" x14ac:dyDescent="0.2">
      <c r="A62" s="78"/>
      <c r="B62" s="78"/>
      <c r="C62" s="78"/>
      <c r="D62" s="78"/>
      <c r="E62" s="78"/>
      <c r="F62" s="78"/>
      <c r="G62" s="78"/>
      <c r="H62" s="192"/>
      <c r="I62" s="242" t="s">
        <v>198</v>
      </c>
      <c r="J62" s="78"/>
      <c r="K62" s="78"/>
      <c r="L62" s="78"/>
      <c r="M62" s="78"/>
      <c r="N62" s="78"/>
      <c r="O62" s="243">
        <f>ROUND(IF($C$14&lt;1,0,(L55)/($C$14*100)*10000),2)</f>
        <v>0</v>
      </c>
      <c r="P62" s="25" t="s">
        <v>86</v>
      </c>
      <c r="Q62" s="78"/>
      <c r="AE62" s="78"/>
      <c r="AF62" s="78"/>
      <c r="AG62" s="78"/>
      <c r="AH62" s="78"/>
      <c r="AI62" s="78"/>
      <c r="AJ62" s="78"/>
      <c r="AK62" s="78"/>
      <c r="AL62" s="78"/>
      <c r="AM62" s="78"/>
      <c r="AN62" s="78"/>
      <c r="AO62" s="78"/>
      <c r="AP62" s="78"/>
      <c r="AQ62" s="78"/>
      <c r="AR62" s="78"/>
      <c r="AS62" s="78"/>
      <c r="AT62" s="78"/>
      <c r="HE62" s="78"/>
      <c r="HF62" s="78"/>
      <c r="HG62" s="78"/>
      <c r="HH62" s="78"/>
      <c r="HI62" s="78"/>
      <c r="HJ62" s="78"/>
      <c r="HK62" s="78"/>
      <c r="HL62" s="78"/>
      <c r="HM62" s="78"/>
      <c r="HN62" s="78"/>
    </row>
    <row r="63" spans="1:236" x14ac:dyDescent="0.2">
      <c r="A63" s="78"/>
    </row>
    <row r="64" spans="1:236" x14ac:dyDescent="0.2">
      <c r="A64" s="78"/>
    </row>
    <row r="65" spans="1:1" x14ac:dyDescent="0.2">
      <c r="A65" s="78"/>
    </row>
    <row r="66" spans="1:1" x14ac:dyDescent="0.2">
      <c r="A66" s="78"/>
    </row>
    <row r="67" spans="1:1" x14ac:dyDescent="0.2">
      <c r="A67" s="78"/>
    </row>
    <row r="68" spans="1:1" x14ac:dyDescent="0.2">
      <c r="A68" s="78"/>
    </row>
  </sheetData>
  <sheetProtection algorithmName="SHA-512" hashValue="ztcpvsoNHNwFNURuVG37PuTlnZa9N/Xk30Hk5MSnaoLlyAPDgGetN5CkomdCUIgQ7nEuG5NihRoSc9C0O7bRqA==" saltValue="wsoC8BZc4VyVsLilLn8+Ww=="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67"/>
  <sheetViews>
    <sheetView showGridLines="0" topLeftCell="A5" zoomScale="80" zoomScaleNormal="80" workbookViewId="0">
      <selection activeCell="A37" sqref="A37:XFD37"/>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c r="Q1" s="203"/>
    </row>
    <row r="2" spans="1:30" ht="20.25" x14ac:dyDescent="0.3">
      <c r="A2" s="565" t="s">
        <v>253</v>
      </c>
      <c r="B2" s="565"/>
      <c r="C2" s="565"/>
      <c r="D2" s="565"/>
      <c r="E2" s="565"/>
      <c r="F2" s="565"/>
      <c r="G2" s="565"/>
      <c r="H2" s="565"/>
      <c r="I2" s="565"/>
      <c r="J2" s="565"/>
      <c r="K2" s="565"/>
      <c r="L2" s="565"/>
      <c r="M2" s="565"/>
      <c r="N2" s="565"/>
      <c r="O2" s="565"/>
      <c r="P2" s="565"/>
      <c r="Q2" s="197"/>
    </row>
    <row r="3" spans="1:30" ht="18" x14ac:dyDescent="0.25">
      <c r="A3" s="550" t="s">
        <v>94</v>
      </c>
      <c r="B3" s="550"/>
      <c r="C3" s="550"/>
      <c r="D3" s="550"/>
      <c r="E3" s="550"/>
      <c r="F3" s="550"/>
      <c r="G3" s="550"/>
      <c r="H3" s="550"/>
      <c r="I3" s="550"/>
      <c r="J3" s="550"/>
      <c r="K3" s="550"/>
      <c r="L3" s="550"/>
      <c r="M3" s="550"/>
      <c r="N3" s="550"/>
      <c r="O3" s="550"/>
      <c r="P3" s="550"/>
      <c r="Q3" s="198"/>
    </row>
    <row r="4" spans="1:30" ht="15.75" x14ac:dyDescent="0.25">
      <c r="A4" s="550"/>
      <c r="B4" s="550"/>
      <c r="C4" s="550"/>
      <c r="D4" s="550"/>
      <c r="E4" s="550"/>
      <c r="F4" s="550"/>
      <c r="G4" s="550"/>
      <c r="H4" s="550"/>
      <c r="I4" s="550"/>
      <c r="J4" s="550"/>
      <c r="K4" s="550"/>
      <c r="L4" s="550"/>
      <c r="M4" s="550"/>
      <c r="N4" s="550"/>
      <c r="O4" s="550"/>
      <c r="P4" s="550"/>
      <c r="Q4" s="199"/>
    </row>
    <row r="5" spans="1:30" x14ac:dyDescent="0.2">
      <c r="A5" s="76">
        <f ca="1">TODAY()</f>
        <v>45532</v>
      </c>
      <c r="B5" s="557" t="s">
        <v>255</v>
      </c>
      <c r="C5" s="557"/>
      <c r="D5" s="557"/>
      <c r="E5" s="557"/>
      <c r="F5" s="557"/>
      <c r="G5" s="557"/>
      <c r="H5" s="557"/>
      <c r="I5" s="557"/>
      <c r="J5" s="557"/>
      <c r="K5" s="557"/>
      <c r="L5" s="557"/>
      <c r="M5" s="557"/>
      <c r="N5" s="557"/>
      <c r="O5" s="557"/>
    </row>
    <row r="6" spans="1:30" x14ac:dyDescent="0.2">
      <c r="A6" s="548" t="s">
        <v>15</v>
      </c>
      <c r="B6" s="548"/>
      <c r="C6" s="548"/>
      <c r="D6" s="548"/>
      <c r="E6" s="548"/>
      <c r="F6" s="548"/>
      <c r="G6" s="548"/>
      <c r="H6" s="548"/>
      <c r="I6" s="548"/>
      <c r="J6" s="548"/>
      <c r="K6" s="548"/>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9</v>
      </c>
      <c r="C10" s="194" t="str">
        <f>LOOKUP(B10,S11:AD11,S12:AD12)</f>
        <v>September</v>
      </c>
      <c r="D10" s="133">
        <f>'Customer Info'!C9</f>
        <v>2024</v>
      </c>
    </row>
    <row r="11" spans="1:30" x14ac:dyDescent="0.2">
      <c r="A11" s="559"/>
      <c r="B11" s="559"/>
      <c r="C11" s="559"/>
      <c r="D11" s="559"/>
      <c r="E11" s="559"/>
      <c r="F11" s="559"/>
      <c r="G11" s="559"/>
      <c r="H11" s="559"/>
      <c r="I11" s="559"/>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84</v>
      </c>
      <c r="B15" s="31"/>
      <c r="C15" s="212">
        <f>MAX('Customer Info'!B19,'Customer Info'!B20)</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165</v>
      </c>
      <c r="S16" s="222">
        <f>'Rider Rates'!$C$29</f>
        <v>4.4387999999999997E-3</v>
      </c>
      <c r="T16" s="222">
        <f>'Rider Rates'!$C$29</f>
        <v>4.4387999999999997E-3</v>
      </c>
      <c r="U16" s="222">
        <f>'Rider Rates'!$C$29</f>
        <v>4.4387999999999997E-3</v>
      </c>
      <c r="V16" s="222">
        <f>'Rider Rates'!$C$29</f>
        <v>4.4387999999999997E-3</v>
      </c>
      <c r="W16" s="222">
        <f>'Rider Rates'!$C$29</f>
        <v>4.4387999999999997E-3</v>
      </c>
      <c r="X16" s="222">
        <f>'Rider Rates'!$B$29</f>
        <v>4.4387999999999997E-3</v>
      </c>
      <c r="Y16" s="222">
        <f>'Rider Rates'!$B$29</f>
        <v>4.4387999999999997E-3</v>
      </c>
      <c r="Z16" s="222">
        <f>'Rider Rates'!$B$29</f>
        <v>4.4387999999999997E-3</v>
      </c>
      <c r="AA16" s="222">
        <f>'Rider Rates'!$B$29</f>
        <v>4.4387999999999997E-3</v>
      </c>
      <c r="AB16" s="222">
        <f>'Rider Rates'!$C$29</f>
        <v>4.4387999999999997E-3</v>
      </c>
      <c r="AC16" s="222">
        <f>'Rider Rates'!$C$29</f>
        <v>4.4387999999999997E-3</v>
      </c>
      <c r="AD16" s="222">
        <f>'Rider Rates'!$C$29</f>
        <v>4.4387999999999997E-3</v>
      </c>
    </row>
    <row r="17" spans="1:221" x14ac:dyDescent="0.2">
      <c r="A17" s="28" t="s">
        <v>124</v>
      </c>
      <c r="B17" s="22"/>
      <c r="C17" s="22"/>
      <c r="D17" s="22"/>
      <c r="E17" s="22"/>
      <c r="F17" s="22"/>
      <c r="G17" s="560" t="s">
        <v>67</v>
      </c>
      <c r="H17" s="561"/>
      <c r="I17" s="561"/>
      <c r="J17" s="562"/>
      <c r="K17" s="22"/>
      <c r="L17" s="563" t="s">
        <v>68</v>
      </c>
      <c r="M17" s="563"/>
      <c r="N17" s="563"/>
      <c r="O17" s="563"/>
      <c r="R17" t="s">
        <v>166</v>
      </c>
      <c r="S17" s="222">
        <f>'Rider Rates'!$C$30</f>
        <v>2.4020999999999999E-3</v>
      </c>
      <c r="T17" s="222">
        <f>'Rider Rates'!$C$30</f>
        <v>2.4020999999999999E-3</v>
      </c>
      <c r="U17" s="222">
        <f>'Rider Rates'!$C$30</f>
        <v>2.4020999999999999E-3</v>
      </c>
      <c r="V17" s="222">
        <f>'Rider Rates'!$C$30</f>
        <v>2.4020999999999999E-3</v>
      </c>
      <c r="W17" s="222">
        <f>'Rider Rates'!$C$30</f>
        <v>2.4020999999999999E-3</v>
      </c>
      <c r="X17" s="222">
        <f>'Rider Rates'!$B$30</f>
        <v>4.2166E-3</v>
      </c>
      <c r="Y17" s="222">
        <f>'Rider Rates'!$B$30</f>
        <v>4.2166E-3</v>
      </c>
      <c r="Z17" s="222">
        <f>'Rider Rates'!$B$30</f>
        <v>4.2166E-3</v>
      </c>
      <c r="AA17" s="222">
        <f>'Rider Rates'!$B$30</f>
        <v>4.2166E-3</v>
      </c>
      <c r="AB17" s="222">
        <f>'Rider Rates'!$C$30</f>
        <v>2.4020999999999999E-3</v>
      </c>
      <c r="AC17" s="222">
        <f>'Rider Rates'!$C$30</f>
        <v>2.4020999999999999E-3</v>
      </c>
      <c r="AD17" s="222">
        <f>'Rider Rates'!$C$30</f>
        <v>2.4020999999999999E-3</v>
      </c>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c r="R18" t="s">
        <v>167</v>
      </c>
      <c r="S18" s="222">
        <f>'Rider Rates'!$C$31</f>
        <v>2.8092999999999998E-3</v>
      </c>
      <c r="T18" s="222">
        <f>'Rider Rates'!$C$31</f>
        <v>2.8092999999999998E-3</v>
      </c>
      <c r="U18" s="222">
        <f>'Rider Rates'!$C$31</f>
        <v>2.8092999999999998E-3</v>
      </c>
      <c r="V18" s="222">
        <f>'Rider Rates'!$C$31</f>
        <v>2.8092999999999998E-3</v>
      </c>
      <c r="W18" s="222">
        <f>'Rider Rates'!$C$31</f>
        <v>2.8092999999999998E-3</v>
      </c>
      <c r="X18" s="222">
        <f>'Rider Rates'!$B$31</f>
        <v>3.9453999999999999E-3</v>
      </c>
      <c r="Y18" s="222">
        <f>'Rider Rates'!$B$31</f>
        <v>3.9453999999999999E-3</v>
      </c>
      <c r="Z18" s="222">
        <f>'Rider Rates'!$B$31</f>
        <v>3.9453999999999999E-3</v>
      </c>
      <c r="AA18" s="222">
        <f>'Rider Rates'!$B$31</f>
        <v>3.9453999999999999E-3</v>
      </c>
      <c r="AB18" s="222">
        <f>'Rider Rates'!$C$31</f>
        <v>2.8092999999999998E-3</v>
      </c>
      <c r="AC18" s="222">
        <f>'Rider Rates'!$C$31</f>
        <v>2.8092999999999998E-3</v>
      </c>
      <c r="AD18" s="222">
        <f>'Rider Rates'!$C$31</f>
        <v>2.8092999999999998E-3</v>
      </c>
    </row>
    <row r="19" spans="1:221" x14ac:dyDescent="0.2">
      <c r="A19" t="s">
        <v>32</v>
      </c>
      <c r="G19" s="83"/>
      <c r="H19" s="83"/>
      <c r="I19" s="125">
        <v>10</v>
      </c>
      <c r="J19" s="125">
        <f>SUM(G19:I19)</f>
        <v>10</v>
      </c>
      <c r="L19" s="125"/>
      <c r="M19" s="125"/>
      <c r="N19" s="125">
        <f>I19</f>
        <v>10</v>
      </c>
      <c r="O19" s="125">
        <f>+SUM(L19:N19)</f>
        <v>10</v>
      </c>
      <c r="P19" s="245">
        <v>44531</v>
      </c>
      <c r="R19" s="3" t="s">
        <v>199</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
      <c r="A20" s="18" t="s">
        <v>254</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74</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IF($C$14&lt;0,0,IF($C$14&gt;833000,833000,$C$14))</f>
        <v>0</v>
      </c>
      <c r="E25" s="101" t="s">
        <v>41</v>
      </c>
      <c r="F25" s="102" t="s">
        <v>8</v>
      </c>
      <c r="G25" s="103"/>
      <c r="H25" s="103"/>
      <c r="I25" s="103">
        <f>'Rider Rates'!$B$4</f>
        <v>5.9216E-3</v>
      </c>
      <c r="J25" s="201">
        <f t="shared" ref="J25:J45" si="0">SUM(G25:I25)</f>
        <v>5.9216E-3</v>
      </c>
      <c r="K25" s="104" t="s">
        <v>42</v>
      </c>
      <c r="L25" s="105"/>
      <c r="M25" s="105"/>
      <c r="N25" s="105">
        <f t="shared" ref="N25:N30" si="1">ROUND(D25*I25,2)</f>
        <v>0</v>
      </c>
      <c r="O25" s="105">
        <f>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SUM(L26:N26)</f>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SUM(L27:N27)</f>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SUM(L28:N28)</f>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SUM(L29:N29)</f>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159</v>
      </c>
      <c r="B30" s="78"/>
      <c r="C30" s="78"/>
      <c r="D30" s="100">
        <f>IF($C$14&lt;0,0,$C$14)</f>
        <v>0</v>
      </c>
      <c r="E30" s="101" t="s">
        <v>41</v>
      </c>
      <c r="F30" s="102" t="s">
        <v>8</v>
      </c>
      <c r="G30" s="103"/>
      <c r="H30" s="103"/>
      <c r="I30" s="103">
        <f>'Rider Rates'!B15</f>
        <v>0</v>
      </c>
      <c r="J30" s="103">
        <f>SUM(G30:I30)</f>
        <v>0</v>
      </c>
      <c r="K30" s="104" t="s">
        <v>42</v>
      </c>
      <c r="L30" s="105"/>
      <c r="M30" s="105"/>
      <c r="N30" s="105">
        <f t="shared" si="1"/>
        <v>0</v>
      </c>
      <c r="O30" s="105">
        <f t="shared" ref="O30:O36" si="2">SUM(L30:N30)</f>
        <v>0</v>
      </c>
      <c r="P30" s="245">
        <f>'Rider Rates'!$D$15</f>
        <v>45505</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41" t="s">
        <v>245</v>
      </c>
      <c r="B31" s="78"/>
      <c r="C31" s="78"/>
      <c r="D31" s="195">
        <f>$N$21</f>
        <v>10</v>
      </c>
      <c r="E31" s="101" t="s">
        <v>121</v>
      </c>
      <c r="F31" s="102" t="s">
        <v>8</v>
      </c>
      <c r="G31" s="103"/>
      <c r="H31" s="103"/>
      <c r="I31" s="178">
        <f>'Rider Rates'!$B$18</f>
        <v>0</v>
      </c>
      <c r="J31" s="178">
        <f>SUM(G31:I31)</f>
        <v>0</v>
      </c>
      <c r="K31" s="104"/>
      <c r="L31" s="105"/>
      <c r="M31" s="105"/>
      <c r="N31" s="105">
        <f>ROUND($D$31*'Rider Rates'!$B$18,2)+ROUND($D$31*'Rider Rates'!$E$18,2)</f>
        <v>0</v>
      </c>
      <c r="O31" s="105">
        <f t="shared" si="2"/>
        <v>0</v>
      </c>
      <c r="P31" s="245">
        <f>MAX('Rider Rates'!$D$18,'Rider Rates'!$F$18)</f>
        <v>44531</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200</v>
      </c>
      <c r="B32" s="78"/>
      <c r="C32" s="78"/>
      <c r="D32" s="100">
        <f>'Customer Info'!$B$22+'Customer Info'!$B$23-'Customer Info'!$B$24</f>
        <v>0</v>
      </c>
      <c r="E32" s="101" t="s">
        <v>41</v>
      </c>
      <c r="F32" s="102" t="s">
        <v>8</v>
      </c>
      <c r="G32" s="103">
        <f>'Rider Rates'!B21</f>
        <v>7.0209999999999995E-2</v>
      </c>
      <c r="H32" s="103"/>
      <c r="I32" s="103"/>
      <c r="J32" s="237">
        <f>SUM(G32:H32)</f>
        <v>7.0209999999999995E-2</v>
      </c>
      <c r="K32" s="104" t="s">
        <v>42</v>
      </c>
      <c r="L32" s="105">
        <f>ROUND(D32*G32,2)</f>
        <v>0</v>
      </c>
      <c r="M32" s="105"/>
      <c r="N32" s="105"/>
      <c r="O32" s="105">
        <f t="shared" si="2"/>
        <v>0</v>
      </c>
      <c r="P32" s="245">
        <f>'Rider Rates'!$D$29</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161</v>
      </c>
      <c r="B33" s="78"/>
      <c r="C33" s="78"/>
      <c r="D33" s="100">
        <f>'Customer Info'!$B$22+'Customer Info'!$B$23-'Customer Info'!$B$24</f>
        <v>0</v>
      </c>
      <c r="E33" s="101" t="s">
        <v>41</v>
      </c>
      <c r="F33" s="102" t="s">
        <v>8</v>
      </c>
      <c r="G33" s="103">
        <f>'Rider Rates'!$B$28</f>
        <v>3.2000000000000002E-3</v>
      </c>
      <c r="H33" s="103"/>
      <c r="I33" s="103"/>
      <c r="J33" s="237">
        <f>SUM(G33:H33)</f>
        <v>3.2000000000000002E-3</v>
      </c>
      <c r="K33" s="104" t="s">
        <v>42</v>
      </c>
      <c r="L33" s="105">
        <f>ROUND(D33*G33,2)</f>
        <v>0</v>
      </c>
      <c r="M33" s="105"/>
      <c r="N33" s="105"/>
      <c r="O33" s="105">
        <f t="shared" si="2"/>
        <v>0</v>
      </c>
      <c r="P33" s="245">
        <f>'Rider Rates'!$D$29</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201</v>
      </c>
      <c r="B34" s="78"/>
      <c r="C34" s="78"/>
      <c r="D34" s="100">
        <f>'Customer Info'!$B$22+'Customer Info'!$B$23-'Customer Info'!$B$24</f>
        <v>0</v>
      </c>
      <c r="E34" s="101" t="s">
        <v>41</v>
      </c>
      <c r="F34" s="102" t="s">
        <v>8</v>
      </c>
      <c r="G34" s="103">
        <f>'Rider Rates'!B49</f>
        <v>-3.1569999999999998E-4</v>
      </c>
      <c r="H34" s="103"/>
      <c r="I34" s="103"/>
      <c r="J34" s="237">
        <f>SUM(G34:H34)</f>
        <v>-3.1569999999999998E-4</v>
      </c>
      <c r="K34" s="104" t="s">
        <v>42</v>
      </c>
      <c r="L34" s="105">
        <f>ROUND(D34*G34,2)</f>
        <v>0</v>
      </c>
      <c r="M34" s="105"/>
      <c r="N34" s="105"/>
      <c r="O34" s="105">
        <f>SUM(L34:N34)</f>
        <v>0</v>
      </c>
      <c r="P34" s="245">
        <f>'Rider Rates'!$D$49</f>
        <v>45471</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218</v>
      </c>
      <c r="B35" s="78"/>
      <c r="C35" s="78"/>
      <c r="D35" s="100"/>
      <c r="E35" s="101" t="s">
        <v>114</v>
      </c>
      <c r="F35" s="102"/>
      <c r="G35" s="103"/>
      <c r="H35" s="103"/>
      <c r="I35" s="103">
        <f>'Rider Rates'!D52</f>
        <v>1.39</v>
      </c>
      <c r="J35" s="103">
        <f>SUM(G35:I35)</f>
        <v>1.39</v>
      </c>
      <c r="K35" s="104" t="s">
        <v>42</v>
      </c>
      <c r="L35" s="105"/>
      <c r="M35" s="105"/>
      <c r="N35" s="105">
        <f>J35</f>
        <v>1.39</v>
      </c>
      <c r="O35" s="105">
        <f>SUM(L35:N35)</f>
        <v>1.39</v>
      </c>
      <c r="P35" s="245">
        <f>'Rider Rates'!E52</f>
        <v>45474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197</v>
      </c>
      <c r="B36" s="78"/>
      <c r="C36" s="78"/>
      <c r="D36" s="100">
        <f>IF($C$14&lt;0,0,$C$14)</f>
        <v>0</v>
      </c>
      <c r="E36" s="113" t="s">
        <v>41</v>
      </c>
      <c r="F36" s="102" t="s">
        <v>8</v>
      </c>
      <c r="G36" s="103"/>
      <c r="H36" s="103">
        <f>'Rider Rates'!$B$59</f>
        <v>4.3837099999999997E-2</v>
      </c>
      <c r="I36" s="103"/>
      <c r="J36" s="103">
        <f>SUM(G36:I36)</f>
        <v>4.3837099999999997E-2</v>
      </c>
      <c r="K36" s="104" t="s">
        <v>42</v>
      </c>
      <c r="L36" s="105"/>
      <c r="M36" s="105">
        <f>ROUND(D36*H36,2)</f>
        <v>0</v>
      </c>
      <c r="N36" s="205"/>
      <c r="O36" s="105">
        <f t="shared" si="2"/>
        <v>0</v>
      </c>
      <c r="P36" s="245">
        <f>'Rider Rates'!$D$59</f>
        <v>45383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347</v>
      </c>
      <c r="B37" s="78"/>
      <c r="C37" s="78"/>
      <c r="D37" s="100">
        <f>IF($C$14&lt;0,0,$C$14)</f>
        <v>0</v>
      </c>
      <c r="E37" s="101" t="s">
        <v>41</v>
      </c>
      <c r="F37" s="102" t="s">
        <v>8</v>
      </c>
      <c r="G37" s="103"/>
      <c r="H37" s="103"/>
      <c r="I37" s="103">
        <f>'Rider Rates'!$B$70</f>
        <v>8.6240000000000004E-4</v>
      </c>
      <c r="J37" s="103">
        <f t="shared" ref="J37" si="3">SUM(G37:I37)</f>
        <v>8.6240000000000004E-4</v>
      </c>
      <c r="K37" s="104" t="s">
        <v>42</v>
      </c>
      <c r="L37" s="105"/>
      <c r="M37" s="105"/>
      <c r="N37" s="105">
        <f>ROUND($D$37*'Rider Rates'!$B$70,2)</f>
        <v>0</v>
      </c>
      <c r="O37" s="105">
        <f>SUM(L37:N37)</f>
        <v>0</v>
      </c>
      <c r="P37" s="245">
        <f>'Rider Rates'!$D$70</f>
        <v>45532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95</v>
      </c>
      <c r="B38" s="78"/>
      <c r="C38" s="78"/>
      <c r="D38" s="100">
        <f>IF('Customer Info'!C35=TRUE,0,IF($C$14&lt;0,0,$C$14))</f>
        <v>0</v>
      </c>
      <c r="E38" s="101" t="s">
        <v>41</v>
      </c>
      <c r="F38" s="102" t="s">
        <v>8</v>
      </c>
      <c r="G38" s="103"/>
      <c r="H38" s="103"/>
      <c r="I38" s="103">
        <f>'Rider Rates'!$B$73+'Rider Rates'!$C$73</f>
        <v>0</v>
      </c>
      <c r="J38" s="103">
        <f t="shared" si="0"/>
        <v>0</v>
      </c>
      <c r="K38" s="104" t="s">
        <v>42</v>
      </c>
      <c r="L38" s="105"/>
      <c r="M38" s="105"/>
      <c r="N38" s="105">
        <f>ROUND($D$38*'Rider Rates'!$B$73,2)+ROUND($D$38*'Rider Rates'!$C$73,2)</f>
        <v>0</v>
      </c>
      <c r="O38" s="105">
        <f>SUM(L38:N38)</f>
        <v>0</v>
      </c>
      <c r="P38" s="245">
        <f>'Rider Rates'!$D$73</f>
        <v>44531</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80</v>
      </c>
      <c r="B39" s="78"/>
      <c r="C39" s="78"/>
      <c r="D39" s="195">
        <f>$N$21</f>
        <v>10</v>
      </c>
      <c r="E39" s="101" t="s">
        <v>121</v>
      </c>
      <c r="F39" s="102" t="s">
        <v>8</v>
      </c>
      <c r="G39" s="111"/>
      <c r="H39" s="112"/>
      <c r="I39" s="120">
        <f>'Rider Rates'!$B$89</f>
        <v>2.9347000000000002E-2</v>
      </c>
      <c r="J39" s="120">
        <f t="shared" si="0"/>
        <v>2.9347000000000002E-2</v>
      </c>
      <c r="K39" s="104"/>
      <c r="L39" s="105"/>
      <c r="M39" s="105"/>
      <c r="N39" s="105">
        <f>ROUND(D39*I39,2)</f>
        <v>0.28999999999999998</v>
      </c>
      <c r="O39" s="105">
        <f>SUM(L39:N39)</f>
        <v>0.28999999999999998</v>
      </c>
      <c r="P39" s="245">
        <f>'Rider Rates'!$D$89</f>
        <v>45383</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121</v>
      </c>
      <c r="F40" s="102" t="s">
        <v>8</v>
      </c>
      <c r="G40" s="114"/>
      <c r="H40" s="115"/>
      <c r="I40" s="120">
        <f>'Rider Rates'!$B$91</f>
        <v>6.6985699999999995E-2</v>
      </c>
      <c r="J40" s="120">
        <f t="shared" si="0"/>
        <v>6.6985699999999995E-2</v>
      </c>
      <c r="K40" s="104"/>
      <c r="L40" s="105"/>
      <c r="M40" s="105"/>
      <c r="N40" s="105">
        <f>ROUND(D40*I40,2)</f>
        <v>0.67</v>
      </c>
      <c r="O40" s="105">
        <f>SUM(L40:N40)</f>
        <v>0.67</v>
      </c>
      <c r="P40" s="245">
        <f>'Rider Rates'!$D$91</f>
        <v>45167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214</v>
      </c>
      <c r="B41" s="78"/>
      <c r="C41" s="78"/>
      <c r="D41" s="195"/>
      <c r="E41" s="113" t="s">
        <v>114</v>
      </c>
      <c r="F41" s="106"/>
      <c r="G41" s="114"/>
      <c r="H41" s="115"/>
      <c r="I41" s="196">
        <f>'Rider Rates'!$B$94</f>
        <v>1.42</v>
      </c>
      <c r="J41" s="196">
        <f t="shared" si="0"/>
        <v>1.42</v>
      </c>
      <c r="K41" s="104"/>
      <c r="L41" s="105"/>
      <c r="M41" s="105"/>
      <c r="N41" s="105">
        <f>I41</f>
        <v>1.42</v>
      </c>
      <c r="O41" s="105">
        <f>SUM(L41:N41)</f>
        <v>1.42</v>
      </c>
      <c r="P41" s="245">
        <f>'Rider Rates'!$D$94</f>
        <v>45442</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247</v>
      </c>
      <c r="B42" s="78"/>
      <c r="C42" s="78"/>
      <c r="D42" s="100">
        <f>IF($C$14&lt;0,0,$C$14)</f>
        <v>0</v>
      </c>
      <c r="E42" s="101" t="s">
        <v>41</v>
      </c>
      <c r="F42" s="102" t="s">
        <v>8</v>
      </c>
      <c r="G42" s="103"/>
      <c r="H42" s="103"/>
      <c r="I42" s="103"/>
      <c r="J42" s="103">
        <f>'Rider Rates'!$B$98</f>
        <v>0</v>
      </c>
      <c r="K42" s="104" t="s">
        <v>42</v>
      </c>
      <c r="L42" s="105"/>
      <c r="M42" s="105"/>
      <c r="N42" s="105"/>
      <c r="O42" s="105">
        <f>ROUND($D42*('Rider Rates'!B$98),2)</f>
        <v>0</v>
      </c>
      <c r="P42" s="245">
        <f>'Rider Rates'!$D$98</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156</v>
      </c>
      <c r="B43" s="78"/>
      <c r="C43" s="78"/>
      <c r="D43" s="195">
        <f>$N$21</f>
        <v>10</v>
      </c>
      <c r="E43" s="101" t="s">
        <v>121</v>
      </c>
      <c r="F43" s="102" t="s">
        <v>8</v>
      </c>
      <c r="G43" s="114"/>
      <c r="H43" s="115"/>
      <c r="I43" s="120">
        <f>'Rider Rates'!$B$109</f>
        <v>0.211176</v>
      </c>
      <c r="J43" s="120">
        <f t="shared" si="0"/>
        <v>0.211176</v>
      </c>
      <c r="K43" s="104"/>
      <c r="L43" s="105"/>
      <c r="M43" s="105"/>
      <c r="N43" s="105">
        <f>ROUND(D43*I43,2)</f>
        <v>2.11</v>
      </c>
      <c r="O43" s="105">
        <f t="shared" ref="O43:O48" si="4">SUM(L43:N43)</f>
        <v>2.11</v>
      </c>
      <c r="P43" s="245">
        <f>'Rider Rates'!$D$109</f>
        <v>45532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217</v>
      </c>
      <c r="B44" s="78"/>
      <c r="C44" s="78"/>
      <c r="D44" s="195"/>
      <c r="E44" s="113" t="s">
        <v>114</v>
      </c>
      <c r="F44" s="106"/>
      <c r="G44" s="114"/>
      <c r="H44" s="115"/>
      <c r="I44" s="196">
        <f>'Rider Rates'!$B$112</f>
        <v>0</v>
      </c>
      <c r="J44" s="196">
        <f t="shared" si="0"/>
        <v>0</v>
      </c>
      <c r="K44" s="104"/>
      <c r="L44" s="105"/>
      <c r="M44" s="105"/>
      <c r="N44" s="105">
        <f>I44</f>
        <v>0</v>
      </c>
      <c r="O44" s="105">
        <f t="shared" si="4"/>
        <v>0</v>
      </c>
      <c r="P44" s="245">
        <f>'Rider Rates'!$D$112</f>
        <v>44894</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225</v>
      </c>
      <c r="B45" s="78"/>
      <c r="C45" s="78"/>
      <c r="D45" s="195"/>
      <c r="E45" s="113" t="s">
        <v>114</v>
      </c>
      <c r="F45" s="106"/>
      <c r="G45" s="114"/>
      <c r="H45" s="115"/>
      <c r="I45" s="258">
        <f>'Rider Rates'!B125</f>
        <v>1.26</v>
      </c>
      <c r="J45" s="196">
        <f t="shared" si="0"/>
        <v>1.26</v>
      </c>
      <c r="K45" s="104"/>
      <c r="L45" s="105"/>
      <c r="M45" s="105"/>
      <c r="N45" s="260">
        <f>I45</f>
        <v>1.26</v>
      </c>
      <c r="O45" s="105">
        <f t="shared" si="4"/>
        <v>1.26</v>
      </c>
      <c r="P45" s="245">
        <f>'Rider Rates'!D125</f>
        <v>45226</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Info'!$B$22+'Customer Info'!$B$23-'Customer Info'!$B$24</f>
        <v>0</v>
      </c>
      <c r="E46" s="101" t="s">
        <v>41</v>
      </c>
      <c r="F46" s="102" t="s">
        <v>8</v>
      </c>
      <c r="G46" s="103">
        <f>'Rider Rates'!$B$116</f>
        <v>3.8972999999999998E-3</v>
      </c>
      <c r="H46" s="103"/>
      <c r="I46" s="120"/>
      <c r="J46" s="237">
        <f>SUM(G46:H46)</f>
        <v>3.8972999999999998E-3</v>
      </c>
      <c r="K46" s="104" t="s">
        <v>42</v>
      </c>
      <c r="L46" s="105">
        <f>ROUND(D46*G46,2)</f>
        <v>0</v>
      </c>
      <c r="M46" s="105"/>
      <c r="N46" s="105"/>
      <c r="O46" s="105">
        <f t="shared" si="4"/>
        <v>0</v>
      </c>
      <c r="P46" s="245">
        <f>'Rider Rates'!$D$116</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216</v>
      </c>
      <c r="B47" s="78"/>
      <c r="C47" s="78"/>
      <c r="D47" s="100">
        <f>IF($C$14&lt;1,0,$C$14)</f>
        <v>0</v>
      </c>
      <c r="E47" s="101" t="s">
        <v>41</v>
      </c>
      <c r="F47" s="249" t="s">
        <v>8</v>
      </c>
      <c r="G47" s="103"/>
      <c r="H47" s="103"/>
      <c r="I47" s="237">
        <f>'Rider Rates'!$B$121</f>
        <v>-2.3000000000000001E-4</v>
      </c>
      <c r="J47" s="237">
        <f>SUM(G47:I47)</f>
        <v>-2.3000000000000001E-4</v>
      </c>
      <c r="K47" s="104" t="s">
        <v>42</v>
      </c>
      <c r="L47" s="105"/>
      <c r="M47" s="105"/>
      <c r="N47" s="105">
        <f>D47*J47</f>
        <v>0</v>
      </c>
      <c r="O47" s="105">
        <f t="shared" si="4"/>
        <v>0</v>
      </c>
      <c r="P47" s="245">
        <f>'Rider Rates'!D121</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238</v>
      </c>
      <c r="B48" s="78"/>
      <c r="C48" s="78"/>
      <c r="D48" s="100"/>
      <c r="E48" s="101" t="s">
        <v>114</v>
      </c>
      <c r="F48" s="102" t="s">
        <v>8</v>
      </c>
      <c r="G48" s="263"/>
      <c r="H48" s="263"/>
      <c r="I48" s="263">
        <f>'Rider Rates'!$B$129</f>
        <v>0.1</v>
      </c>
      <c r="J48" s="263">
        <f>SUM(G48:I48)</f>
        <v>0.1</v>
      </c>
      <c r="K48" s="104"/>
      <c r="L48" s="209"/>
      <c r="M48" s="209"/>
      <c r="N48" s="209">
        <f>J48</f>
        <v>0.1</v>
      </c>
      <c r="O48" s="209">
        <f t="shared" si="4"/>
        <v>0.1</v>
      </c>
      <c r="P48" s="264">
        <f>'Rider Rates'!$E$129</f>
        <v>44927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250</v>
      </c>
      <c r="B49" s="78"/>
      <c r="C49" s="78"/>
      <c r="D49" s="100">
        <f>C14</f>
        <v>0</v>
      </c>
      <c r="E49" s="101" t="s">
        <v>41</v>
      </c>
      <c r="F49" s="249" t="s">
        <v>8</v>
      </c>
      <c r="G49" s="103"/>
      <c r="H49" s="103"/>
      <c r="I49" s="103">
        <f>'Rider Rates'!$B$134</f>
        <v>0</v>
      </c>
      <c r="J49" s="237">
        <f>SUM(G49:I49)</f>
        <v>0</v>
      </c>
      <c r="K49" s="104" t="s">
        <v>42</v>
      </c>
      <c r="L49" s="105"/>
      <c r="M49" s="105"/>
      <c r="N49" s="105">
        <f>D49*J49</f>
        <v>0</v>
      </c>
      <c r="O49" s="105">
        <f>SUM(L49:N49)</f>
        <v>0</v>
      </c>
      <c r="P49" s="245">
        <f>'Rider Rates'!D134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249</v>
      </c>
      <c r="B50" s="78"/>
      <c r="C50" s="78"/>
      <c r="D50" s="100"/>
      <c r="E50" s="101" t="s">
        <v>114</v>
      </c>
      <c r="F50" s="102" t="s">
        <v>8</v>
      </c>
      <c r="G50" s="263"/>
      <c r="H50" s="263"/>
      <c r="I50" s="263">
        <f>'Rider Rates'!$B$141</f>
        <v>0</v>
      </c>
      <c r="J50" s="263">
        <f>SUM(G50:I50)</f>
        <v>0</v>
      </c>
      <c r="K50" s="104"/>
      <c r="L50" s="209"/>
      <c r="M50" s="209"/>
      <c r="N50" s="209">
        <f>J50</f>
        <v>0</v>
      </c>
      <c r="O50" s="209">
        <f>SUM(L50:N50)</f>
        <v>0</v>
      </c>
      <c r="P50" s="264">
        <f>'Rider Rates'!$D$137</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251</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70</v>
      </c>
      <c r="B52" s="148"/>
      <c r="C52" s="148"/>
      <c r="D52" s="180"/>
      <c r="E52" s="181"/>
      <c r="F52" s="182"/>
      <c r="G52" s="182"/>
      <c r="H52" s="182"/>
      <c r="I52" s="182"/>
      <c r="J52" s="182"/>
      <c r="K52" s="183"/>
      <c r="L52" s="169">
        <f>SUM(L25:L51)</f>
        <v>0</v>
      </c>
      <c r="M52" s="169">
        <f>SUM(M25:M51)</f>
        <v>0</v>
      </c>
      <c r="N52" s="169">
        <f>SUM(N25:N51)</f>
        <v>7.2399999999999993</v>
      </c>
      <c r="O52" s="169">
        <f>SUM(O25:O51)</f>
        <v>7.2399999999999993</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17.239999999999998</v>
      </c>
      <c r="O54" s="187">
        <f>O21+O52</f>
        <v>17.239999999999998</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92</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116</v>
      </c>
      <c r="B58" s="151"/>
      <c r="C58" s="151"/>
      <c r="D58" s="151"/>
      <c r="E58" s="151"/>
      <c r="F58" s="151"/>
      <c r="G58" s="151"/>
      <c r="H58" s="151"/>
      <c r="I58" s="151"/>
      <c r="J58" s="151"/>
      <c r="K58" s="151"/>
      <c r="L58" s="151"/>
      <c r="M58" s="151"/>
      <c r="N58" s="151"/>
      <c r="O58" s="190">
        <f>IF($C$14&lt;0,O54,IF(O54&gt;O56,O54,I53))</f>
        <v>17.239999999999998</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120</v>
      </c>
      <c r="J60" s="166"/>
      <c r="K60" s="166"/>
      <c r="L60" s="191"/>
      <c r="M60" s="191"/>
      <c r="N60" s="191"/>
      <c r="O60" s="191">
        <f>ROUND(IF($C$14&lt;1,0,O54/($C$14*100)*10000),2)</f>
        <v>0</v>
      </c>
      <c r="P60" s="37" t="s">
        <v>86</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198</v>
      </c>
      <c r="J61" s="78"/>
      <c r="K61" s="78"/>
      <c r="L61" s="78"/>
      <c r="M61" s="78"/>
      <c r="N61" s="78"/>
      <c r="O61" s="243">
        <f>ROUND(IF($C$14&lt;1,0,(L54)/($C$14*100)*10000),2)</f>
        <v>0</v>
      </c>
      <c r="P61" s="25" t="s">
        <v>86</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B6/DVh5xpZhziGMZCGqHScfLV3zKmL6Nw4qQWB7dOy79Y89TsrsiSIfR9oe9xbweRKw2ypI4HYmxQO9h+kA3Hw==" saltValue="ABIt4QC73sQSEWG+Yy/BLg=="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4"/>
  <sheetViews>
    <sheetView showGridLines="0" topLeftCell="A15" zoomScale="80" zoomScaleNormal="80" workbookViewId="0">
      <selection activeCell="A44" sqref="A44:XFD44"/>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49" t="s">
        <v>119</v>
      </c>
      <c r="B1" s="549"/>
      <c r="C1" s="549"/>
      <c r="D1" s="549"/>
      <c r="E1" s="549"/>
      <c r="F1" s="549"/>
      <c r="G1" s="549"/>
      <c r="H1" s="549"/>
      <c r="I1" s="549"/>
      <c r="J1" s="549"/>
      <c r="K1" s="549"/>
      <c r="L1" s="549"/>
      <c r="M1" s="549"/>
      <c r="N1" s="549"/>
      <c r="O1" s="549"/>
      <c r="P1" s="549"/>
      <c r="Q1" s="197"/>
    </row>
    <row r="2" spans="1:59" ht="20.25" x14ac:dyDescent="0.3">
      <c r="A2" s="549" t="s">
        <v>122</v>
      </c>
      <c r="B2" s="549"/>
      <c r="C2" s="549"/>
      <c r="D2" s="549"/>
      <c r="E2" s="549"/>
      <c r="F2" s="549"/>
      <c r="G2" s="549"/>
      <c r="H2" s="549"/>
      <c r="I2" s="549"/>
      <c r="J2" s="549"/>
      <c r="K2" s="549"/>
      <c r="L2" s="549"/>
      <c r="M2" s="549"/>
      <c r="N2" s="549"/>
      <c r="O2" s="549"/>
      <c r="P2" s="549"/>
    </row>
    <row r="3" spans="1:59" ht="18" x14ac:dyDescent="0.25">
      <c r="A3" s="565" t="s">
        <v>115</v>
      </c>
      <c r="B3" s="565"/>
      <c r="C3" s="565"/>
      <c r="D3" s="565"/>
      <c r="E3" s="565"/>
      <c r="F3" s="565"/>
      <c r="G3" s="565"/>
      <c r="H3" s="565"/>
      <c r="I3" s="565"/>
      <c r="J3" s="565"/>
      <c r="K3" s="565"/>
      <c r="L3" s="565"/>
      <c r="M3" s="565"/>
      <c r="N3" s="565"/>
      <c r="O3" s="565"/>
      <c r="P3" s="565"/>
      <c r="Q3" s="198"/>
    </row>
    <row r="4" spans="1:59"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45532</v>
      </c>
      <c r="B6" s="557" t="s">
        <v>228</v>
      </c>
      <c r="C6" s="557"/>
      <c r="D6" s="557"/>
      <c r="E6" s="557"/>
      <c r="F6" s="557"/>
      <c r="G6" s="557"/>
      <c r="H6" s="557"/>
      <c r="I6" s="557"/>
      <c r="J6" s="557"/>
      <c r="K6" s="557"/>
      <c r="L6" s="557"/>
      <c r="M6" s="557"/>
      <c r="N6" s="557"/>
      <c r="O6" s="557"/>
    </row>
    <row r="7" spans="1:59" x14ac:dyDescent="0.2">
      <c r="A7" s="548" t="s">
        <v>15</v>
      </c>
      <c r="B7" s="548"/>
      <c r="C7" s="548"/>
      <c r="D7" s="548"/>
      <c r="E7" s="548"/>
      <c r="F7" s="548"/>
      <c r="G7" s="548"/>
      <c r="H7" s="548"/>
      <c r="I7" s="548"/>
      <c r="J7" s="548"/>
      <c r="K7" s="548"/>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9</v>
      </c>
      <c r="C11" s="194" t="str">
        <f>LOOKUP($B$11,$S$11:$AD$11,S12:AD12)</f>
        <v>September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229</v>
      </c>
      <c r="B18" s="78"/>
      <c r="C18" s="154"/>
      <c r="D18" s="261">
        <f>'Customer Info'!B22</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230</v>
      </c>
      <c r="B19" s="78"/>
      <c r="C19" s="154"/>
      <c r="D19" s="261">
        <f>'Customer Info'!B23</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4" t="s">
        <v>67</v>
      </c>
      <c r="H23" s="555"/>
      <c r="I23" s="555"/>
      <c r="J23" s="556"/>
      <c r="K23" s="159"/>
      <c r="L23" s="551" t="s">
        <v>68</v>
      </c>
      <c r="M23" s="552"/>
      <c r="N23" s="552"/>
      <c r="O23" s="55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78</v>
      </c>
      <c r="B31" s="176"/>
      <c r="C31" s="176"/>
      <c r="D31" s="100">
        <f>IF($D$17&lt;0,0,IF($D$17&gt;833000,833000,$D$17))</f>
        <v>0</v>
      </c>
      <c r="E31" s="101" t="s">
        <v>41</v>
      </c>
      <c r="F31" s="102" t="s">
        <v>8</v>
      </c>
      <c r="G31" s="103"/>
      <c r="H31" s="103"/>
      <c r="I31" s="103">
        <f>'Rider Rates'!$B$4</f>
        <v>5.9216E-3</v>
      </c>
      <c r="J31" s="103">
        <f t="shared" ref="J31:J37" si="0">SUM(G31:I31)</f>
        <v>5.9216E-3</v>
      </c>
      <c r="K31" s="104" t="s">
        <v>42</v>
      </c>
      <c r="L31" s="105"/>
      <c r="M31" s="105"/>
      <c r="N31" s="105">
        <f t="shared" ref="N31:N36" si="1">ROUND(D31*I31,2)</f>
        <v>0</v>
      </c>
      <c r="O31" s="250">
        <f t="shared" ref="O31:O54"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159</v>
      </c>
      <c r="B36" s="78"/>
      <c r="C36" s="78"/>
      <c r="D36" s="100">
        <f>IF($D$17&lt;0,0,$D$17)</f>
        <v>0</v>
      </c>
      <c r="E36" s="101" t="s">
        <v>41</v>
      </c>
      <c r="F36" s="102" t="s">
        <v>8</v>
      </c>
      <c r="G36" s="103"/>
      <c r="H36" s="103"/>
      <c r="I36" s="103">
        <f>'Rider Rates'!$B$15</f>
        <v>0</v>
      </c>
      <c r="J36" s="103">
        <f t="shared" si="0"/>
        <v>0</v>
      </c>
      <c r="K36" s="104" t="s">
        <v>42</v>
      </c>
      <c r="L36" s="105"/>
      <c r="M36" s="105"/>
      <c r="N36" s="105">
        <f t="shared" si="1"/>
        <v>0</v>
      </c>
      <c r="O36" s="105">
        <f t="shared" si="2"/>
        <v>0</v>
      </c>
      <c r="P36" s="245">
        <f>'Rider Rates'!$D$15</f>
        <v>45505</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245</v>
      </c>
      <c r="B37" s="78"/>
      <c r="C37" s="78"/>
      <c r="D37" s="195">
        <f>$N$27</f>
        <v>10</v>
      </c>
      <c r="E37" s="101" t="s">
        <v>121</v>
      </c>
      <c r="F37" s="102" t="s">
        <v>8</v>
      </c>
      <c r="G37" s="103"/>
      <c r="H37" s="103"/>
      <c r="I37" s="178">
        <f>'Rider Rates'!$B$18+'Rider Rates'!$E$18</f>
        <v>0</v>
      </c>
      <c r="J37" s="178">
        <f t="shared" si="0"/>
        <v>0</v>
      </c>
      <c r="K37" s="104"/>
      <c r="L37" s="105"/>
      <c r="M37" s="105"/>
      <c r="N37" s="105">
        <f>ROUND($D$37*'Rider Rates'!$B$18,2)+ROUND($D$37*'Rider Rates'!$E$18,2)</f>
        <v>0</v>
      </c>
      <c r="O37" s="105">
        <f t="shared" si="2"/>
        <v>0</v>
      </c>
      <c r="P37" s="245">
        <f>MAX('Rider Rates'!$D$18,'Rider Rates'!$F$18)</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194</v>
      </c>
      <c r="B38" s="78"/>
      <c r="C38" s="78"/>
      <c r="D38" s="100">
        <f>'Customer Info'!$B$22+'Customer Info'!$B$23</f>
        <v>0</v>
      </c>
      <c r="E38" s="101" t="s">
        <v>41</v>
      </c>
      <c r="F38" s="102" t="s">
        <v>8</v>
      </c>
      <c r="G38" s="103">
        <f>'Rider Rates'!B21</f>
        <v>7.0209999999999995E-2</v>
      </c>
      <c r="H38" s="103"/>
      <c r="I38" s="103"/>
      <c r="J38" s="237">
        <f>SUM(G38:H38)</f>
        <v>7.0209999999999995E-2</v>
      </c>
      <c r="K38" s="104" t="s">
        <v>42</v>
      </c>
      <c r="L38" s="105">
        <f>ROUND(D38*G38,2)</f>
        <v>0</v>
      </c>
      <c r="M38" s="105"/>
      <c r="N38" s="105"/>
      <c r="O38" s="105">
        <f t="shared" si="2"/>
        <v>0</v>
      </c>
      <c r="P38" s="245">
        <f>'Rider Rates'!$D$21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164</v>
      </c>
      <c r="B39" s="78"/>
      <c r="C39" s="78"/>
      <c r="D39" s="100">
        <f>D18</f>
        <v>0</v>
      </c>
      <c r="E39" s="101" t="s">
        <v>41</v>
      </c>
      <c r="F39" s="102" t="s">
        <v>8</v>
      </c>
      <c r="G39" s="103">
        <f>'Rider Rates'!B34</f>
        <v>2.67383E-2</v>
      </c>
      <c r="H39" s="103"/>
      <c r="I39" s="103"/>
      <c r="J39" s="237">
        <f>SUM(G39:H39)</f>
        <v>2.67383E-2</v>
      </c>
      <c r="K39" s="104" t="s">
        <v>42</v>
      </c>
      <c r="L39" s="239">
        <f>ROUND($D$39*$G$39,2)</f>
        <v>0</v>
      </c>
      <c r="M39" s="105"/>
      <c r="N39" s="105"/>
      <c r="O39" s="105">
        <f>SUM(L39:N39)</f>
        <v>0</v>
      </c>
      <c r="P39" s="245">
        <f>'Rider Rates'!D34</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227</v>
      </c>
      <c r="B40" s="78"/>
      <c r="C40" s="78"/>
      <c r="D40" s="100">
        <f>D19</f>
        <v>0</v>
      </c>
      <c r="E40" s="101" t="s">
        <v>41</v>
      </c>
      <c r="F40" s="102" t="s">
        <v>8</v>
      </c>
      <c r="G40" s="103">
        <f>'Rider Rates'!B35</f>
        <v>0</v>
      </c>
      <c r="H40" s="103"/>
      <c r="I40" s="103"/>
      <c r="J40" s="237">
        <f>SUM(G40:H40)</f>
        <v>0</v>
      </c>
      <c r="K40" s="104"/>
      <c r="L40" s="239">
        <f>D40*G40</f>
        <v>0</v>
      </c>
      <c r="M40" s="105"/>
      <c r="N40" s="105"/>
      <c r="O40" s="105">
        <f>SUM(L40:N40)</f>
        <v>0</v>
      </c>
      <c r="P40" s="245">
        <f>'Rider Rates'!D35</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f>
        <v>0</v>
      </c>
      <c r="E41" s="101" t="s">
        <v>41</v>
      </c>
      <c r="F41" s="102" t="s">
        <v>8</v>
      </c>
      <c r="G41" s="103">
        <f>'Rider Rates'!$B$49</f>
        <v>-3.1569999999999998E-4</v>
      </c>
      <c r="H41" s="103"/>
      <c r="I41" s="103"/>
      <c r="J41" s="237">
        <f>SUM(G41:H41)</f>
        <v>-3.1569999999999998E-4</v>
      </c>
      <c r="K41" s="104" t="s">
        <v>42</v>
      </c>
      <c r="L41" s="105">
        <f>ROUND(D41*G41,2)</f>
        <v>0</v>
      </c>
      <c r="M41" s="105"/>
      <c r="N41" s="105"/>
      <c r="O41" s="105">
        <f t="shared" si="2"/>
        <v>0</v>
      </c>
      <c r="P41" s="245">
        <f>'Rider Rates'!$D$49</f>
        <v>45471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3">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IF($D$17&lt;0,0,$D$17)</f>
        <v>0</v>
      </c>
      <c r="E43" s="113" t="s">
        <v>41</v>
      </c>
      <c r="F43" s="102" t="s">
        <v>8</v>
      </c>
      <c r="G43" s="103"/>
      <c r="H43" s="103">
        <f>'Rider Rates'!$B$59</f>
        <v>4.3837099999999997E-2</v>
      </c>
      <c r="I43" s="103"/>
      <c r="J43" s="103">
        <f t="shared" si="3"/>
        <v>4.3837099999999997E-2</v>
      </c>
      <c r="K43" s="104" t="s">
        <v>42</v>
      </c>
      <c r="L43" s="105"/>
      <c r="M43" s="105">
        <f>ROUND(D43*H43,2)</f>
        <v>0</v>
      </c>
      <c r="N43" s="205"/>
      <c r="O43" s="105">
        <f t="shared" si="2"/>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347</v>
      </c>
      <c r="B44" s="78"/>
      <c r="C44" s="78"/>
      <c r="D44" s="100">
        <f>IF($D$17&lt;0,0,$D$17)</f>
        <v>0</v>
      </c>
      <c r="E44" s="101" t="s">
        <v>41</v>
      </c>
      <c r="F44" s="102" t="s">
        <v>8</v>
      </c>
      <c r="G44" s="103"/>
      <c r="H44" s="103"/>
      <c r="I44" s="103">
        <f>'Rider Rates'!$B$70</f>
        <v>8.6240000000000004E-4</v>
      </c>
      <c r="J44" s="103">
        <f t="shared" ref="J44" si="4">SUM(G44:I44)</f>
        <v>8.6240000000000004E-4</v>
      </c>
      <c r="K44" s="104" t="s">
        <v>42</v>
      </c>
      <c r="L44" s="105"/>
      <c r="M44" s="105"/>
      <c r="N44" s="105">
        <f>ROUND($D$44*'Rider Rates'!$B$70,2)</f>
        <v>0</v>
      </c>
      <c r="O44" s="250">
        <f t="shared" ref="O44" si="5">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Info'!C35=TRUE,0,IF($D$17&lt;0,0,$D$17))</f>
        <v>0</v>
      </c>
      <c r="E45" s="101" t="s">
        <v>41</v>
      </c>
      <c r="F45" s="102" t="s">
        <v>8</v>
      </c>
      <c r="G45" s="103"/>
      <c r="H45" s="103"/>
      <c r="I45" s="103">
        <f>'Rider Rates'!$B$73+'Rider Rates'!$C$73</f>
        <v>0</v>
      </c>
      <c r="J45" s="103">
        <f t="shared" si="3"/>
        <v>0</v>
      </c>
      <c r="K45" s="104" t="s">
        <v>42</v>
      </c>
      <c r="L45" s="105"/>
      <c r="M45" s="105"/>
      <c r="N45" s="105">
        <f>ROUND($D$45*'Rider Rates'!$B$73,2)+ROUND($D$45*'Rider Rates'!$C$73,2)</f>
        <v>0</v>
      </c>
      <c r="O45" s="250">
        <f t="shared" si="2"/>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$N$27</f>
        <v>10</v>
      </c>
      <c r="E46" s="101" t="s">
        <v>121</v>
      </c>
      <c r="F46" s="102" t="s">
        <v>8</v>
      </c>
      <c r="G46" s="111"/>
      <c r="H46" s="112"/>
      <c r="I46" s="120">
        <f>'Rider Rates'!$B$89</f>
        <v>2.9347000000000002E-2</v>
      </c>
      <c r="J46" s="120">
        <f t="shared" si="3"/>
        <v>2.9347000000000002E-2</v>
      </c>
      <c r="K46" s="104"/>
      <c r="L46" s="105"/>
      <c r="M46" s="105"/>
      <c r="N46" s="105">
        <f>ROUND(D46*I46,2)</f>
        <v>0.28999999999999998</v>
      </c>
      <c r="O46" s="105">
        <f t="shared" si="2"/>
        <v>0.28999999999999998</v>
      </c>
      <c r="P46" s="245">
        <f>'Rider Rates'!$D$89</f>
        <v>45383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121</v>
      </c>
      <c r="F47" s="102" t="s">
        <v>8</v>
      </c>
      <c r="G47" s="114"/>
      <c r="H47" s="115"/>
      <c r="I47" s="120">
        <f>'Rider Rates'!$B$91</f>
        <v>6.6985699999999995E-2</v>
      </c>
      <c r="J47" s="120">
        <f t="shared" si="3"/>
        <v>6.6985699999999995E-2</v>
      </c>
      <c r="K47" s="104"/>
      <c r="L47" s="105"/>
      <c r="M47" s="105"/>
      <c r="N47" s="105">
        <f>ROUND(D47*I47,2)</f>
        <v>0.67</v>
      </c>
      <c r="O47" s="105">
        <f t="shared" si="2"/>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1.42</v>
      </c>
      <c r="J48" s="196">
        <f t="shared" si="3"/>
        <v>1.42</v>
      </c>
      <c r="K48" s="104"/>
      <c r="L48" s="105"/>
      <c r="M48" s="105"/>
      <c r="N48" s="105">
        <f>I48</f>
        <v>1.42</v>
      </c>
      <c r="O48" s="250">
        <f>SUM(L48:N48)</f>
        <v>1.42</v>
      </c>
      <c r="P48" s="245">
        <f>'Rider Rates'!$D$94</f>
        <v>45442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247</v>
      </c>
      <c r="B49" s="78"/>
      <c r="C49" s="78"/>
      <c r="D49" s="100">
        <f>IF($D$17&lt;0,0,$D$17)</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121</v>
      </c>
      <c r="F50" s="102" t="s">
        <v>8</v>
      </c>
      <c r="G50" s="114"/>
      <c r="H50" s="115"/>
      <c r="I50" s="120">
        <f>'Rider Rates'!$B$109</f>
        <v>0.211176</v>
      </c>
      <c r="J50" s="238">
        <f>SUM(G50:I50)</f>
        <v>0.211176</v>
      </c>
      <c r="K50" s="104"/>
      <c r="L50" s="105"/>
      <c r="M50" s="105"/>
      <c r="N50" s="105">
        <f>ROUND(D50*I50,2)</f>
        <v>2.11</v>
      </c>
      <c r="O50" s="105">
        <f t="shared" si="2"/>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1.26</v>
      </c>
      <c r="J52" s="259">
        <f>SUM(G52:I52)</f>
        <v>1.26</v>
      </c>
      <c r="K52" s="104"/>
      <c r="L52" s="105"/>
      <c r="M52" s="105"/>
      <c r="N52" s="260">
        <f>I52</f>
        <v>1.26</v>
      </c>
      <c r="O52" s="105">
        <f>SUM(L52:N52)</f>
        <v>1.26</v>
      </c>
      <c r="P52" s="245">
        <f>'Rider Rates'!D125</f>
        <v>45226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2"/>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IF($D$17&lt;1,0,$D$17)</f>
        <v>0</v>
      </c>
      <c r="E54" s="101" t="s">
        <v>41</v>
      </c>
      <c r="F54" s="249" t="s">
        <v>8</v>
      </c>
      <c r="G54" s="103"/>
      <c r="H54" s="103"/>
      <c r="I54" s="103">
        <f>'Rider Rates'!$B$121</f>
        <v>-2.3000000000000001E-4</v>
      </c>
      <c r="J54" s="237">
        <f>SUM(G54:I54)</f>
        <v>-2.3000000000000001E-4</v>
      </c>
      <c r="K54" s="104" t="s">
        <v>42</v>
      </c>
      <c r="L54" s="105"/>
      <c r="M54" s="105"/>
      <c r="N54" s="105">
        <f>D54*J54</f>
        <v>0</v>
      </c>
      <c r="O54" s="105">
        <f t="shared" si="2"/>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SUM(L31:L58)</f>
        <v>0</v>
      </c>
      <c r="M59" s="169">
        <f>SUM(M31:M58)</f>
        <v>0</v>
      </c>
      <c r="N59" s="169">
        <f>SUM(N31:N58)</f>
        <v>7.2399999999999993</v>
      </c>
      <c r="O59" s="169">
        <f>SUM(O31:O58)</f>
        <v>7.2399999999999993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L27+L59</f>
        <v>0</v>
      </c>
      <c r="M61" s="186">
        <f>M27+M59</f>
        <v>0</v>
      </c>
      <c r="N61" s="186">
        <f>N27+N59</f>
        <v>17.239999999999998</v>
      </c>
      <c r="O61" s="187">
        <f>O27+O59</f>
        <v>17.239999999999998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17.239999999999998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ROUND(IF($D$17&lt;1,0,(L61)/($D$17*100)*10000),2)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row r="94" spans="1:1" x14ac:dyDescent="0.2">
      <c r="A94" s="547"/>
    </row>
  </sheetData>
  <sheetProtection algorithmName="SHA-512" hashValue="nTES8tAsYJO7n5aZUdUR5ocYwbdQQZiuP8g46j3ZDeQvPrzS/uXQzr8GIKjy2Wk3m1roosuxHsM9TVtfy0uDoA==" saltValue="+qiw8N95o0nqWs6osNhPw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2331-AF16-4BD5-96AB-43FC76ACB0C9}">
  <sheetPr codeName="Sheet6"/>
  <dimension ref="A1:IB94"/>
  <sheetViews>
    <sheetView showGridLines="0" topLeftCell="A13" zoomScale="80" zoomScaleNormal="80" workbookViewId="0">
      <selection activeCell="N45" sqref="N45"/>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49" t="s">
        <v>119</v>
      </c>
      <c r="B1" s="549"/>
      <c r="C1" s="549"/>
      <c r="D1" s="549"/>
      <c r="E1" s="549"/>
      <c r="F1" s="549"/>
      <c r="G1" s="549"/>
      <c r="H1" s="549"/>
      <c r="I1" s="549"/>
      <c r="J1" s="549"/>
      <c r="K1" s="549"/>
      <c r="L1" s="549"/>
      <c r="M1" s="549"/>
      <c r="N1" s="549"/>
      <c r="O1" s="549"/>
      <c r="P1" s="549"/>
      <c r="Q1" s="197"/>
    </row>
    <row r="2" spans="1:59" ht="20.25" x14ac:dyDescent="0.3">
      <c r="A2" s="549" t="s">
        <v>122</v>
      </c>
      <c r="B2" s="549"/>
      <c r="C2" s="549"/>
      <c r="D2" s="549"/>
      <c r="E2" s="549"/>
      <c r="F2" s="549"/>
      <c r="G2" s="549"/>
      <c r="H2" s="549"/>
      <c r="I2" s="549"/>
      <c r="J2" s="549"/>
      <c r="K2" s="549"/>
      <c r="L2" s="549"/>
      <c r="M2" s="549"/>
      <c r="N2" s="549"/>
      <c r="O2" s="549"/>
      <c r="P2" s="549"/>
    </row>
    <row r="3" spans="1:59" ht="18" x14ac:dyDescent="0.25">
      <c r="A3" s="565" t="s">
        <v>333</v>
      </c>
      <c r="B3" s="565"/>
      <c r="C3" s="565"/>
      <c r="D3" s="565"/>
      <c r="E3" s="565"/>
      <c r="F3" s="565"/>
      <c r="G3" s="565"/>
      <c r="H3" s="565"/>
      <c r="I3" s="565"/>
      <c r="J3" s="565"/>
      <c r="K3" s="565"/>
      <c r="L3" s="565"/>
      <c r="M3" s="565"/>
      <c r="N3" s="565"/>
      <c r="O3" s="565"/>
      <c r="P3" s="565"/>
      <c r="Q3" s="198"/>
    </row>
    <row r="4" spans="1:59"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c r="Q4" s="199"/>
    </row>
    <row r="5" spans="1:59" ht="15" x14ac:dyDescent="0.2">
      <c r="A5" s="75"/>
      <c r="B5" s="75"/>
      <c r="C5" s="75"/>
      <c r="D5" s="75"/>
      <c r="E5" s="75"/>
      <c r="F5" s="75"/>
      <c r="G5" s="75"/>
      <c r="H5" s="75"/>
      <c r="I5" s="75"/>
      <c r="J5" s="75"/>
      <c r="K5" s="75"/>
      <c r="L5" s="75"/>
      <c r="M5" s="75"/>
      <c r="N5" s="75"/>
      <c r="O5" s="75"/>
      <c r="P5" s="75"/>
      <c r="Q5" s="75"/>
    </row>
    <row r="6" spans="1:59" x14ac:dyDescent="0.2">
      <c r="A6" s="415">
        <f ca="1">TODAY()</f>
        <v>45532</v>
      </c>
      <c r="B6" s="557" t="s">
        <v>336</v>
      </c>
      <c r="C6" s="557"/>
      <c r="D6" s="557"/>
      <c r="E6" s="557"/>
      <c r="F6" s="557"/>
      <c r="G6" s="557"/>
      <c r="H6" s="557"/>
      <c r="I6" s="557"/>
      <c r="J6" s="557"/>
      <c r="K6" s="557"/>
      <c r="L6" s="557"/>
      <c r="M6" s="557"/>
      <c r="N6" s="557"/>
      <c r="O6" s="557"/>
    </row>
    <row r="7" spans="1:59" x14ac:dyDescent="0.2">
      <c r="A7" s="548" t="s">
        <v>15</v>
      </c>
      <c r="B7" s="548"/>
      <c r="C7" s="548"/>
      <c r="D7" s="548"/>
      <c r="E7" s="548"/>
      <c r="F7" s="548"/>
      <c r="G7" s="548"/>
      <c r="H7" s="548"/>
      <c r="I7" s="548"/>
      <c r="J7" s="548"/>
      <c r="K7" s="548"/>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9</v>
      </c>
      <c r="C11" s="194" t="str">
        <f>LOOKUP($B$11,$S$11:$AD$11,S12:AD12)</f>
        <v>September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416" t="s">
        <v>15</v>
      </c>
      <c r="H14" s="416"/>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229</v>
      </c>
      <c r="B17" s="78"/>
      <c r="D17" s="154">
        <f>IF('Customer Info'!B22&lt;0,0,'Customer Info'!B22)</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230</v>
      </c>
      <c r="B18" s="78"/>
      <c r="C18" s="154"/>
      <c r="D18" s="154">
        <f>IF('Customer Info'!B23&lt;0,0,'Customer Info'!B23)</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51</v>
      </c>
      <c r="B19" s="78"/>
      <c r="C19" s="154"/>
      <c r="D19" s="261">
        <f>D17+D18</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4" t="s">
        <v>67</v>
      </c>
      <c r="H23" s="555"/>
      <c r="I23" s="555"/>
      <c r="J23" s="556"/>
      <c r="K23" s="159"/>
      <c r="L23" s="551" t="s">
        <v>68</v>
      </c>
      <c r="M23" s="552"/>
      <c r="N23" s="552"/>
      <c r="O23" s="55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f>'Rider Rates'!B146</f>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417" t="s">
        <v>325</v>
      </c>
      <c r="B26" s="78"/>
      <c r="C26" s="78"/>
      <c r="D26" s="418">
        <f>D17</f>
        <v>0</v>
      </c>
      <c r="E26" s="78"/>
      <c r="F26" s="78"/>
      <c r="G26" s="162"/>
      <c r="H26" s="163"/>
      <c r="I26" s="165">
        <f>'Rider Rates'!C146</f>
        <v>3.7427700000000001E-2</v>
      </c>
      <c r="J26" s="165">
        <v>3.7427700000000001E-2</v>
      </c>
      <c r="K26" s="108" t="s">
        <v>91</v>
      </c>
      <c r="L26" s="105"/>
      <c r="M26" s="105"/>
      <c r="N26" s="105">
        <f>ROUND($D26*I26,2)</f>
        <v>0</v>
      </c>
      <c r="O26" s="250">
        <f>SUM(L26:N26)</f>
        <v>0</v>
      </c>
      <c r="P26" s="245">
        <f>'Rider Rates'!H146</f>
        <v>45444</v>
      </c>
      <c r="Q26" s="78"/>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417" t="s">
        <v>326</v>
      </c>
      <c r="B27" s="78"/>
      <c r="C27" s="78"/>
      <c r="D27" s="1">
        <f>D18</f>
        <v>0</v>
      </c>
      <c r="E27" s="101" t="s">
        <v>41</v>
      </c>
      <c r="F27" s="106" t="s">
        <v>8</v>
      </c>
      <c r="G27" s="247"/>
      <c r="H27" s="163"/>
      <c r="I27" s="165">
        <f>'Rider Rates'!D146</f>
        <v>1.5787499999999999E-2</v>
      </c>
      <c r="J27" s="103">
        <v>1.5787499999999999E-2</v>
      </c>
      <c r="K27" s="108" t="s">
        <v>91</v>
      </c>
      <c r="L27" s="105"/>
      <c r="M27" s="105"/>
      <c r="N27" s="105">
        <f>ROUND($D27*I27,2)</f>
        <v>0</v>
      </c>
      <c r="O27" s="250">
        <f t="shared" ref="O27" si="0">SUM(L27:N27)</f>
        <v>0</v>
      </c>
      <c r="P27" s="245">
        <f>'Rider Rates'!H146</f>
        <v>45444</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78</v>
      </c>
      <c r="B32" s="176"/>
      <c r="C32" s="176"/>
      <c r="D32" s="100">
        <f>IF($D$19&lt;0,0,IF($D$19&gt;833000,833000,$D$19))</f>
        <v>0</v>
      </c>
      <c r="E32" s="101" t="s">
        <v>41</v>
      </c>
      <c r="F32" s="102" t="s">
        <v>8</v>
      </c>
      <c r="G32" s="103"/>
      <c r="H32" s="103"/>
      <c r="I32" s="103">
        <f>'Rider Rates'!$B$4</f>
        <v>5.9216E-3</v>
      </c>
      <c r="J32" s="103">
        <f t="shared" ref="J32:J38" si="1">SUM(G32:I32)</f>
        <v>5.9216E-3</v>
      </c>
      <c r="K32" s="104" t="s">
        <v>42</v>
      </c>
      <c r="L32" s="105"/>
      <c r="M32" s="105"/>
      <c r="N32" s="105">
        <f t="shared" ref="N32:N37" si="2">ROUND(D32*I32,2)</f>
        <v>0</v>
      </c>
      <c r="O32" s="250">
        <f t="shared" ref="O32:O54" si="3">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79</v>
      </c>
      <c r="B33" s="78"/>
      <c r="C33" s="78"/>
      <c r="D33" s="123">
        <f>IF($D$19&gt;833000,$D$19-833000,0)</f>
        <v>0</v>
      </c>
      <c r="E33" s="101" t="s">
        <v>41</v>
      </c>
      <c r="F33" s="102" t="s">
        <v>8</v>
      </c>
      <c r="G33" s="103"/>
      <c r="H33" s="103"/>
      <c r="I33" s="103">
        <f>'Rider Rates'!$B$5</f>
        <v>1.7560000000000001E-4</v>
      </c>
      <c r="J33" s="103">
        <f t="shared" si="1"/>
        <v>1.7560000000000001E-4</v>
      </c>
      <c r="K33" s="104" t="s">
        <v>42</v>
      </c>
      <c r="L33" s="105"/>
      <c r="M33" s="105"/>
      <c r="N33" s="105">
        <f t="shared" si="2"/>
        <v>0</v>
      </c>
      <c r="O33" s="105">
        <f t="shared" si="3"/>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96</v>
      </c>
      <c r="B34" s="78"/>
      <c r="C34" s="78"/>
      <c r="D34" s="100">
        <f>IF($D$19&lt;0,0,IF($D$19&gt;2000,2000,$D$19))</f>
        <v>0</v>
      </c>
      <c r="E34" s="101" t="s">
        <v>41</v>
      </c>
      <c r="F34" s="102" t="s">
        <v>8</v>
      </c>
      <c r="G34" s="103"/>
      <c r="H34" s="103"/>
      <c r="I34" s="177">
        <f>'Rider Rates'!$B$8</f>
        <v>4.6499999999999996E-3</v>
      </c>
      <c r="J34" s="177">
        <f t="shared" si="1"/>
        <v>4.6499999999999996E-3</v>
      </c>
      <c r="K34" s="104" t="s">
        <v>42</v>
      </c>
      <c r="L34" s="105"/>
      <c r="M34" s="105"/>
      <c r="N34" s="105">
        <f t="shared" si="2"/>
        <v>0</v>
      </c>
      <c r="O34" s="105">
        <f t="shared" si="3"/>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97</v>
      </c>
      <c r="B35" s="78"/>
      <c r="C35" s="78"/>
      <c r="D35" s="100">
        <f>IF($D$19&lt;=2000,0,IF($D$19=0,0,IF($D$19-2000&gt;13000,13000,$D$19-2000)))</f>
        <v>0</v>
      </c>
      <c r="E35" s="101" t="s">
        <v>41</v>
      </c>
      <c r="F35" s="102" t="s">
        <v>8</v>
      </c>
      <c r="G35" s="103"/>
      <c r="H35" s="103"/>
      <c r="I35" s="177">
        <f>'Rider Rates'!$B$9</f>
        <v>4.1900000000000001E-3</v>
      </c>
      <c r="J35" s="177">
        <f t="shared" si="1"/>
        <v>4.1900000000000001E-3</v>
      </c>
      <c r="K35" s="104" t="s">
        <v>42</v>
      </c>
      <c r="L35" s="105"/>
      <c r="M35" s="105"/>
      <c r="N35" s="105">
        <f t="shared" si="2"/>
        <v>0</v>
      </c>
      <c r="O35" s="105">
        <f t="shared" si="3"/>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98</v>
      </c>
      <c r="B36" s="78"/>
      <c r="C36" s="78"/>
      <c r="D36" s="100">
        <f>IF($D$19=0,0,IF($D$19-15000&gt;=0,$D$19-15000,0))</f>
        <v>0</v>
      </c>
      <c r="E36" s="101" t="s">
        <v>41</v>
      </c>
      <c r="F36" s="102" t="s">
        <v>8</v>
      </c>
      <c r="G36" s="103"/>
      <c r="H36" s="103"/>
      <c r="I36" s="177">
        <f>'Rider Rates'!$B$10</f>
        <v>3.63E-3</v>
      </c>
      <c r="J36" s="177">
        <f t="shared" si="1"/>
        <v>3.63E-3</v>
      </c>
      <c r="K36" s="104" t="s">
        <v>42</v>
      </c>
      <c r="L36" s="105"/>
      <c r="M36" s="105"/>
      <c r="N36" s="105">
        <f t="shared" si="2"/>
        <v>0</v>
      </c>
      <c r="O36" s="105">
        <f t="shared" si="3"/>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IF($D$19&lt;0,0,$D$19)</f>
        <v>0</v>
      </c>
      <c r="E37" s="101" t="s">
        <v>41</v>
      </c>
      <c r="F37" s="102" t="s">
        <v>8</v>
      </c>
      <c r="G37" s="103"/>
      <c r="H37" s="103"/>
      <c r="I37" s="103">
        <f>'Rider Rates'!$B$15</f>
        <v>0</v>
      </c>
      <c r="J37" s="103">
        <f t="shared" si="1"/>
        <v>0</v>
      </c>
      <c r="K37" s="104" t="s">
        <v>42</v>
      </c>
      <c r="L37" s="105"/>
      <c r="M37" s="105"/>
      <c r="N37" s="105">
        <f t="shared" si="2"/>
        <v>0</v>
      </c>
      <c r="O37" s="105">
        <f t="shared" si="3"/>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245</v>
      </c>
      <c r="B38" s="78"/>
      <c r="C38" s="78"/>
      <c r="D38" s="195">
        <f>$N$28</f>
        <v>10</v>
      </c>
      <c r="E38" s="101" t="s">
        <v>121</v>
      </c>
      <c r="F38" s="102" t="s">
        <v>8</v>
      </c>
      <c r="G38" s="103"/>
      <c r="H38" s="103"/>
      <c r="I38" s="178">
        <f>'Rider Rates'!$B$18+'Rider Rates'!$E$18</f>
        <v>0</v>
      </c>
      <c r="J38" s="178">
        <f t="shared" si="1"/>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194</v>
      </c>
      <c r="B39" s="78"/>
      <c r="C39" s="78"/>
      <c r="D39" s="100">
        <f>'Customer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161</v>
      </c>
      <c r="B40" s="78"/>
      <c r="C40" s="78"/>
      <c r="D40" s="100">
        <f>'Customer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Rates'!D34</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f>
        <v>0</v>
      </c>
      <c r="E41" s="101" t="s">
        <v>41</v>
      </c>
      <c r="F41" s="102" t="s">
        <v>8</v>
      </c>
      <c r="G41" s="103">
        <f>'Rider Rates'!$B$49</f>
        <v>-3.1569999999999998E-4</v>
      </c>
      <c r="H41" s="103"/>
      <c r="I41" s="103"/>
      <c r="J41" s="237">
        <f>SUM(G41:H41)</f>
        <v>-3.1569999999999998E-4</v>
      </c>
      <c r="K41" s="104" t="s">
        <v>42</v>
      </c>
      <c r="L41" s="105">
        <f>ROUND(D41*G41,2)</f>
        <v>0</v>
      </c>
      <c r="M41" s="105"/>
      <c r="N41" s="105"/>
      <c r="O41" s="105">
        <f t="shared" si="3"/>
        <v>0</v>
      </c>
      <c r="P41" s="245">
        <f>'Rider Rates'!$D$49</f>
        <v>45471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IF($D$19&lt;0,0,$D$19)</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347</v>
      </c>
      <c r="B44" s="78"/>
      <c r="C44" s="78"/>
      <c r="D44" s="100">
        <f>IF($D$19&lt;0,0,$D$19)</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Info'!C35=TRUE,0,IF($D$19&lt;0,0,$D$19))</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3"/>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$N$28</f>
        <v>10</v>
      </c>
      <c r="E46" s="101" t="s">
        <v>121</v>
      </c>
      <c r="F46" s="102" t="s">
        <v>8</v>
      </c>
      <c r="G46" s="111"/>
      <c r="H46" s="112"/>
      <c r="I46" s="120">
        <f>'Rider Rates'!$B$89</f>
        <v>2.9347000000000002E-2</v>
      </c>
      <c r="J46" s="120">
        <f t="shared" si="4"/>
        <v>2.9347000000000002E-2</v>
      </c>
      <c r="K46" s="104"/>
      <c r="L46" s="105"/>
      <c r="M46" s="105"/>
      <c r="N46" s="105">
        <f>ROUND(D46*I46,2)</f>
        <v>0.28999999999999998</v>
      </c>
      <c r="O46" s="105">
        <f t="shared" si="3"/>
        <v>0.28999999999999998</v>
      </c>
      <c r="P46" s="245">
        <f>'Rider Rates'!$D$89</f>
        <v>45383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3"/>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1.42</v>
      </c>
      <c r="J48" s="196">
        <f t="shared" si="4"/>
        <v>1.42</v>
      </c>
      <c r="K48" s="104"/>
      <c r="L48" s="105"/>
      <c r="M48" s="105"/>
      <c r="N48" s="105">
        <f>I48</f>
        <v>1.42</v>
      </c>
      <c r="O48" s="250">
        <f>SUM(L48:N48)</f>
        <v>1.42</v>
      </c>
      <c r="P48" s="245">
        <f>'Rider Rates'!$D$94</f>
        <v>45442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247</v>
      </c>
      <c r="B49" s="78"/>
      <c r="C49" s="78"/>
      <c r="D49" s="100">
        <f>IF($D$19&lt;0,0,$D$19)</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$N$28</f>
        <v>10</v>
      </c>
      <c r="E50" s="101" t="s">
        <v>121</v>
      </c>
      <c r="F50" s="102" t="s">
        <v>8</v>
      </c>
      <c r="G50" s="114"/>
      <c r="H50" s="115"/>
      <c r="I50" s="120">
        <f>'Rider Rates'!$B$109</f>
        <v>0.211176</v>
      </c>
      <c r="J50" s="238">
        <f>SUM(G50:I50)</f>
        <v>0.211176</v>
      </c>
      <c r="K50" s="104"/>
      <c r="L50" s="105"/>
      <c r="M50" s="105"/>
      <c r="N50" s="105">
        <f>ROUND(D50*I50,2)</f>
        <v>2.11</v>
      </c>
      <c r="O50" s="105">
        <f t="shared" si="3"/>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1.26</v>
      </c>
      <c r="J52" s="259">
        <f>SUM(G52:I52)</f>
        <v>1.26</v>
      </c>
      <c r="K52" s="104"/>
      <c r="L52" s="105"/>
      <c r="M52" s="105"/>
      <c r="N52" s="260">
        <f>I52</f>
        <v>1.26</v>
      </c>
      <c r="O52" s="105">
        <f>SUM(L52:N52)</f>
        <v>1.26</v>
      </c>
      <c r="P52" s="245">
        <f>'Rider Rates'!D125</f>
        <v>45226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3"/>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IF($D$19&lt;1,0,$D$19)</f>
        <v>0</v>
      </c>
      <c r="E54" s="101" t="s">
        <v>41</v>
      </c>
      <c r="F54" s="249" t="s">
        <v>8</v>
      </c>
      <c r="G54" s="103"/>
      <c r="H54" s="103"/>
      <c r="I54" s="103">
        <f>'Rider Rates'!$B$121</f>
        <v>-2.3000000000000001E-4</v>
      </c>
      <c r="J54" s="237">
        <f>SUM(G54:I54)</f>
        <v>-2.3000000000000001E-4</v>
      </c>
      <c r="K54" s="104" t="s">
        <v>42</v>
      </c>
      <c r="L54" s="105"/>
      <c r="M54" s="105"/>
      <c r="N54" s="105">
        <f>D54*J54</f>
        <v>0</v>
      </c>
      <c r="O54" s="105">
        <f t="shared" si="3"/>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SUM(L32:L58)</f>
        <v>0</v>
      </c>
      <c r="M59" s="169">
        <f>SUM(M32:M58)</f>
        <v>0</v>
      </c>
      <c r="N59" s="169">
        <f>SUM(N32:N58)</f>
        <v>7.2399999999999993</v>
      </c>
      <c r="O59" s="169">
        <f>SUM(O32:O58)</f>
        <v>7.2399999999999993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L28+L59</f>
        <v>0</v>
      </c>
      <c r="M61" s="186">
        <f>M28+M59</f>
        <v>0</v>
      </c>
      <c r="N61" s="186">
        <f>N28+N59</f>
        <v>17.239999999999998</v>
      </c>
      <c r="O61" s="187">
        <f>O28+O59</f>
        <v>17.239999999999998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17.239999999999998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ROUND(IF($D$19&lt;1,0,(L61)/($D$19*100)*10000),2)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row r="94" spans="1:1" x14ac:dyDescent="0.2">
      <c r="A94" s="547"/>
    </row>
  </sheetData>
  <sheetProtection algorithmName="SHA-512" hashValue="b05NqqEREBSTWKd/6ssngZp4vgZWx1NZaAow03NNi83iWuksx8UyzzWJE7pubHIHeo3hPWKHiTuOVbmp/ckNZA==" saltValue="9UDJTG02j0PaeHQghj9o7Q==" spinCount="100000" sheet="1" objects="1" scenarios="1"/>
  <mergeCells count="9">
    <mergeCell ref="A2:P2"/>
    <mergeCell ref="A3:P3"/>
    <mergeCell ref="B6:O6"/>
    <mergeCell ref="A80:A94"/>
    <mergeCell ref="A1:P1"/>
    <mergeCell ref="A4:P4"/>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390525</xdr:colOff>
                    <xdr:row>83</xdr:row>
                    <xdr:rowOff>38100</xdr:rowOff>
                  </from>
                  <to>
                    <xdr:col>30</xdr:col>
                    <xdr:colOff>161925</xdr:colOff>
                    <xdr:row>84</xdr:row>
                    <xdr:rowOff>85725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HM70"/>
  <sheetViews>
    <sheetView showGridLines="0" topLeftCell="A13" zoomScale="80" zoomScaleNormal="80" workbookViewId="0">
      <selection activeCell="I39" sqref="I39"/>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564" t="s">
        <v>119</v>
      </c>
      <c r="B1" s="564"/>
      <c r="C1" s="564"/>
      <c r="D1" s="564"/>
      <c r="E1" s="564"/>
      <c r="F1" s="564"/>
      <c r="G1" s="564"/>
      <c r="H1" s="564"/>
      <c r="I1" s="564"/>
      <c r="J1" s="564"/>
      <c r="K1" s="564"/>
      <c r="L1" s="564"/>
      <c r="M1" s="564"/>
      <c r="N1" s="564"/>
      <c r="O1" s="564"/>
      <c r="P1" s="564"/>
    </row>
    <row r="2" spans="1:30" ht="20.25" x14ac:dyDescent="0.3">
      <c r="A2" s="549" t="s">
        <v>122</v>
      </c>
      <c r="B2" s="549"/>
      <c r="C2" s="549"/>
      <c r="D2" s="549"/>
      <c r="E2" s="549"/>
      <c r="F2" s="549"/>
      <c r="G2" s="549"/>
      <c r="H2" s="549"/>
      <c r="I2" s="549"/>
      <c r="J2" s="549"/>
      <c r="K2" s="549"/>
      <c r="L2" s="549"/>
      <c r="M2" s="549"/>
      <c r="N2" s="549"/>
      <c r="O2" s="549"/>
      <c r="P2" s="549"/>
    </row>
    <row r="3" spans="1:30" ht="18" x14ac:dyDescent="0.25">
      <c r="A3" s="565" t="s">
        <v>182</v>
      </c>
      <c r="B3" s="565"/>
      <c r="C3" s="565"/>
      <c r="D3" s="565"/>
      <c r="E3" s="565"/>
      <c r="F3" s="565"/>
      <c r="G3" s="565"/>
      <c r="H3" s="565"/>
      <c r="I3" s="565"/>
      <c r="J3" s="565"/>
      <c r="K3" s="565"/>
      <c r="L3" s="565"/>
      <c r="M3" s="565"/>
      <c r="N3" s="565"/>
      <c r="O3" s="565"/>
      <c r="P3" s="565"/>
    </row>
    <row r="4" spans="1:30"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row>
    <row r="5" spans="1:30" ht="15" x14ac:dyDescent="0.2">
      <c r="A5" s="75"/>
      <c r="B5" s="75"/>
      <c r="C5" s="75"/>
      <c r="D5" s="75"/>
      <c r="E5" s="75"/>
      <c r="F5" s="75"/>
      <c r="G5" s="75"/>
      <c r="H5" s="75"/>
      <c r="I5" s="75"/>
      <c r="J5" s="75"/>
      <c r="K5" s="75"/>
      <c r="L5" s="75"/>
      <c r="M5" s="75"/>
      <c r="N5" s="75"/>
      <c r="O5" s="75"/>
      <c r="P5" s="75"/>
    </row>
    <row r="6" spans="1:30" x14ac:dyDescent="0.2">
      <c r="A6" s="76">
        <f ca="1">TODAY()</f>
        <v>45532</v>
      </c>
      <c r="B6" s="206" t="s">
        <v>244</v>
      </c>
      <c r="C6" s="206"/>
      <c r="D6" s="206"/>
      <c r="E6" s="206"/>
      <c r="F6" s="206"/>
      <c r="G6" s="206"/>
      <c r="H6" s="206"/>
      <c r="I6" s="206"/>
      <c r="J6" s="206"/>
      <c r="K6" s="206"/>
      <c r="L6" s="206"/>
      <c r="M6" s="206"/>
      <c r="N6" s="206"/>
      <c r="O6" s="206"/>
    </row>
    <row r="7" spans="1:30" x14ac:dyDescent="0.2">
      <c r="A7" s="548" t="s">
        <v>15</v>
      </c>
      <c r="B7" s="548"/>
      <c r="C7" s="548"/>
      <c r="D7" s="548"/>
      <c r="E7" s="548"/>
      <c r="F7" s="548"/>
      <c r="G7" s="548"/>
      <c r="H7" s="548"/>
      <c r="I7" s="548"/>
      <c r="J7" s="548"/>
      <c r="K7" s="548"/>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9</v>
      </c>
      <c r="C11" s="194" t="str">
        <f>LOOKUP(B11,R11:AD11,R12:AD12)</f>
        <v>September</v>
      </c>
      <c r="D11" s="133">
        <f>'Customer Info'!C9</f>
        <v>2024</v>
      </c>
      <c r="S11">
        <v>1</v>
      </c>
      <c r="T11">
        <v>2</v>
      </c>
      <c r="U11">
        <v>3</v>
      </c>
      <c r="V11">
        <v>4</v>
      </c>
      <c r="W11">
        <v>5</v>
      </c>
      <c r="X11">
        <v>6</v>
      </c>
      <c r="Y11">
        <v>7</v>
      </c>
      <c r="Z11">
        <v>8</v>
      </c>
      <c r="AA11">
        <v>9</v>
      </c>
      <c r="AB11">
        <v>10</v>
      </c>
      <c r="AC11">
        <v>11</v>
      </c>
      <c r="AD11">
        <v>12</v>
      </c>
    </row>
    <row r="12" spans="1:30" x14ac:dyDescent="0.2">
      <c r="A12" s="559"/>
      <c r="B12" s="559"/>
      <c r="C12" s="559"/>
      <c r="D12" s="559"/>
      <c r="E12" s="559"/>
      <c r="F12" s="559"/>
      <c r="G12" s="559"/>
      <c r="H12" s="559"/>
      <c r="I12" s="559"/>
      <c r="J12" s="94"/>
      <c r="K12" s="94"/>
      <c r="L12" s="94"/>
      <c r="M12" s="94"/>
      <c r="N12" s="94"/>
      <c r="O12" s="94"/>
      <c r="P12" s="9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
      <c r="A13" s="97" t="s">
        <v>27</v>
      </c>
      <c r="B13" s="18"/>
      <c r="C13" s="18"/>
      <c r="D13" s="18"/>
      <c r="E13" s="18"/>
      <c r="F13" s="18"/>
      <c r="G13" s="18"/>
      <c r="H13" s="18"/>
      <c r="I13" s="18"/>
      <c r="R13" s="78" t="s">
        <v>176</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177</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Info'!B22+'Customer Info'!B23-'Customer Info'!B24&lt;0,0,'Customer Info'!B22+'Customer Info'!B23-'Customer Info'!B24)</f>
        <v>0</v>
      </c>
      <c r="D15" s="31" t="s">
        <v>41</v>
      </c>
      <c r="E15" s="31"/>
      <c r="F15" s="33"/>
      <c r="G15" s="31"/>
      <c r="H15" s="31"/>
      <c r="I15" s="31"/>
      <c r="R15" s="3" t="s">
        <v>195</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
      <c r="A16" s="31"/>
      <c r="B16" s="31"/>
      <c r="C16" s="33"/>
      <c r="D16" s="33"/>
      <c r="E16" s="33"/>
      <c r="F16" s="33"/>
      <c r="G16" s="23"/>
      <c r="H16" s="31"/>
      <c r="I16" s="31"/>
    </row>
    <row r="17" spans="1:221" x14ac:dyDescent="0.2">
      <c r="A17" s="28" t="s">
        <v>124</v>
      </c>
      <c r="B17" s="22"/>
      <c r="C17" s="22"/>
      <c r="D17" s="22"/>
      <c r="E17" s="22"/>
      <c r="F17" s="22"/>
      <c r="G17" s="560" t="s">
        <v>67</v>
      </c>
      <c r="H17" s="561"/>
      <c r="I17" s="561"/>
      <c r="J17" s="562"/>
      <c r="K17" s="22"/>
      <c r="L17" s="563" t="s">
        <v>68</v>
      </c>
      <c r="M17" s="563"/>
      <c r="N17" s="563"/>
      <c r="O17" s="563"/>
    </row>
    <row r="18" spans="1:221" x14ac:dyDescent="0.2">
      <c r="A18" s="18"/>
      <c r="B18" s="18"/>
      <c r="C18" s="18"/>
      <c r="D18" s="18"/>
      <c r="E18" s="18"/>
      <c r="F18" s="18"/>
      <c r="G18" s="8" t="s">
        <v>64</v>
      </c>
      <c r="H18" s="8" t="s">
        <v>65</v>
      </c>
      <c r="I18" s="8" t="s">
        <v>66</v>
      </c>
      <c r="J18" s="112" t="s">
        <v>34</v>
      </c>
      <c r="K18" s="18"/>
      <c r="L18" s="131" t="s">
        <v>64</v>
      </c>
      <c r="M18" s="131" t="s">
        <v>65</v>
      </c>
      <c r="N18" s="131" t="s">
        <v>66</v>
      </c>
      <c r="O18" s="132" t="s">
        <v>34</v>
      </c>
      <c r="P18" s="43" t="s">
        <v>56</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303</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74</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69</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78</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 t="shared" ref="N25:N30" si="1">ROUND(D25*I25,2)</f>
        <v>0</v>
      </c>
      <c r="O25" s="105">
        <f t="shared" ref="O25:O47"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79</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96</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97</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98</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159</v>
      </c>
      <c r="B30" s="78"/>
      <c r="C30" s="78"/>
      <c r="D30" s="100">
        <f>IF($C$15&lt;0,0,$C$15)</f>
        <v>0</v>
      </c>
      <c r="E30" s="101" t="s">
        <v>41</v>
      </c>
      <c r="F30" s="102" t="s">
        <v>8</v>
      </c>
      <c r="G30" s="103"/>
      <c r="H30" s="103"/>
      <c r="I30" s="103">
        <f>'Rider Rates'!$B$15</f>
        <v>0</v>
      </c>
      <c r="J30" s="103">
        <f>SUM(G30:I30)</f>
        <v>0</v>
      </c>
      <c r="K30" s="104" t="s">
        <v>42</v>
      </c>
      <c r="L30" s="105"/>
      <c r="M30" s="105"/>
      <c r="N30" s="105">
        <f t="shared" si="1"/>
        <v>0</v>
      </c>
      <c r="O30" s="105">
        <f t="shared" ref="O30:O37" si="3">SUM(L30:N30)</f>
        <v>0</v>
      </c>
      <c r="P30" s="245">
        <f>'Rider Rates'!$D$15</f>
        <v>45505</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245</v>
      </c>
      <c r="B31" s="78"/>
      <c r="C31" s="78"/>
      <c r="D31" s="195">
        <f>$N$21</f>
        <v>10</v>
      </c>
      <c r="E31" s="101" t="s">
        <v>121</v>
      </c>
      <c r="F31" s="102" t="s">
        <v>8</v>
      </c>
      <c r="G31" s="103"/>
      <c r="H31" s="103"/>
      <c r="I31" s="178">
        <f>'Rider Rates'!$B$18+'Rider Rates'!$E$18</f>
        <v>0</v>
      </c>
      <c r="J31" s="178">
        <f>SUM(G31:I31)</f>
        <v>0</v>
      </c>
      <c r="K31" s="104"/>
      <c r="L31" s="105"/>
      <c r="M31" s="105"/>
      <c r="N31" s="105">
        <f>ROUND($D$31*'Rider Rates'!$B$18,2)+ROUND($D$31*'Rider Rates'!$E$18,2)</f>
        <v>0</v>
      </c>
      <c r="O31" s="105">
        <f t="shared" si="3"/>
        <v>0</v>
      </c>
      <c r="P31" s="245">
        <f>MAX('Rider Rates'!$D$18,'Rider Rates'!$F$18)</f>
        <v>44531</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194</v>
      </c>
      <c r="B32" s="78"/>
      <c r="C32" s="78"/>
      <c r="D32" s="100">
        <f>'Customer Info'!$B$22+'Customer Info'!$B$23</f>
        <v>0</v>
      </c>
      <c r="E32" s="101" t="s">
        <v>41</v>
      </c>
      <c r="F32" s="102" t="s">
        <v>8</v>
      </c>
      <c r="G32" s="103">
        <f>'Rider Rates'!B22</f>
        <v>7.0209999999999995E-2</v>
      </c>
      <c r="H32" s="103"/>
      <c r="I32" s="103"/>
      <c r="J32" s="237">
        <f>SUM(G32:H32)</f>
        <v>7.0209999999999995E-2</v>
      </c>
      <c r="K32" s="104" t="s">
        <v>42</v>
      </c>
      <c r="L32" s="105">
        <f>ROUND(D32*G32,2)</f>
        <v>0</v>
      </c>
      <c r="M32" s="105"/>
      <c r="N32" s="105"/>
      <c r="O32" s="105">
        <f t="shared" si="3"/>
        <v>0</v>
      </c>
      <c r="P32" s="245">
        <f>'Rider Rates'!$D$21</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180</v>
      </c>
      <c r="B33" s="78"/>
      <c r="C33" s="78"/>
      <c r="D33" s="100">
        <f>'Customer Info'!$B$23</f>
        <v>0</v>
      </c>
      <c r="E33" s="101" t="s">
        <v>41</v>
      </c>
      <c r="F33" s="102" t="s">
        <v>8</v>
      </c>
      <c r="G33" s="103">
        <f>'Rider Rates'!B33</f>
        <v>1.8998000000000001E-3</v>
      </c>
      <c r="H33" s="103"/>
      <c r="I33" s="103"/>
      <c r="J33" s="237">
        <f>SUM(G33:H33)</f>
        <v>1.8998000000000001E-3</v>
      </c>
      <c r="K33" s="104" t="s">
        <v>42</v>
      </c>
      <c r="L33" s="105">
        <f>ROUND(D33*G33,2)</f>
        <v>0</v>
      </c>
      <c r="M33" s="105"/>
      <c r="N33" s="105"/>
      <c r="O33" s="105">
        <f t="shared" si="3"/>
        <v>0</v>
      </c>
      <c r="P33" s="245">
        <f>'Rider Rates'!$D$32</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181</v>
      </c>
      <c r="B34" s="78"/>
      <c r="C34" s="78"/>
      <c r="D34" s="100">
        <f>'Customer Info'!$B$22</f>
        <v>0</v>
      </c>
      <c r="E34" s="101" t="s">
        <v>41</v>
      </c>
      <c r="F34" s="102" t="s">
        <v>8</v>
      </c>
      <c r="G34" s="103">
        <f>'Rider Rates'!B32</f>
        <v>5.5376999999999996E-3</v>
      </c>
      <c r="H34" s="103"/>
      <c r="I34" s="103"/>
      <c r="J34" s="237">
        <f>SUM(G34:H34)</f>
        <v>5.5376999999999996E-3</v>
      </c>
      <c r="K34" s="104" t="s">
        <v>42</v>
      </c>
      <c r="L34" s="105">
        <f>ROUND(D34*G34,2)</f>
        <v>0</v>
      </c>
      <c r="M34" s="105"/>
      <c r="N34" s="105"/>
      <c r="O34" s="105">
        <f t="shared" si="3"/>
        <v>0</v>
      </c>
      <c r="P34" s="245">
        <f>'Rider Rates'!$D$33</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201</v>
      </c>
      <c r="B35" s="78"/>
      <c r="C35" s="78"/>
      <c r="D35" s="100">
        <f>'Customer Info'!$B$22+'Customer Info'!$B$23</f>
        <v>0</v>
      </c>
      <c r="E35" s="101" t="s">
        <v>41</v>
      </c>
      <c r="F35" s="102" t="s">
        <v>8</v>
      </c>
      <c r="G35" s="103">
        <f>'Rider Rates'!B49</f>
        <v>-3.1569999999999998E-4</v>
      </c>
      <c r="H35" s="103"/>
      <c r="I35" s="103"/>
      <c r="J35" s="237">
        <f>SUM(G35:H35)</f>
        <v>-3.1569999999999998E-4</v>
      </c>
      <c r="K35" s="104" t="s">
        <v>42</v>
      </c>
      <c r="L35" s="105">
        <f>ROUND(D35*G35,2)</f>
        <v>0</v>
      </c>
      <c r="M35" s="105"/>
      <c r="N35" s="105"/>
      <c r="O35" s="105">
        <f>SUM(L35:N35)</f>
        <v>0</v>
      </c>
      <c r="P35" s="245">
        <f>'Rider Rates'!$D$49</f>
        <v>45471</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218</v>
      </c>
      <c r="B36" s="78"/>
      <c r="C36" s="78"/>
      <c r="D36" s="100"/>
      <c r="E36" s="101" t="s">
        <v>114</v>
      </c>
      <c r="F36" s="102" t="s">
        <v>15</v>
      </c>
      <c r="G36" s="103"/>
      <c r="H36" s="103"/>
      <c r="I36" s="103">
        <f>'Rider Rates'!D52</f>
        <v>1.39</v>
      </c>
      <c r="J36" s="103">
        <f>SUM(G36:I36)</f>
        <v>1.39</v>
      </c>
      <c r="K36" s="104" t="s">
        <v>42</v>
      </c>
      <c r="L36" s="105"/>
      <c r="M36" s="105"/>
      <c r="N36" s="105">
        <f>J36</f>
        <v>1.39</v>
      </c>
      <c r="O36" s="105">
        <f>SUM(L36:N36)</f>
        <v>1.39</v>
      </c>
      <c r="P36" s="245">
        <f>'Rider Rates'!E52</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197</v>
      </c>
      <c r="B37" s="78"/>
      <c r="C37" s="78"/>
      <c r="D37" s="100">
        <f>IF($C$15&lt;0,0,$C$15)</f>
        <v>0</v>
      </c>
      <c r="E37" s="113" t="s">
        <v>41</v>
      </c>
      <c r="F37" s="102" t="s">
        <v>8</v>
      </c>
      <c r="G37" s="103"/>
      <c r="H37" s="103">
        <f>'Rider Rates'!$B$59</f>
        <v>4.3837099999999997E-2</v>
      </c>
      <c r="I37" s="103"/>
      <c r="J37" s="103">
        <f>SUM(G37:I37)</f>
        <v>4.3837099999999997E-2</v>
      </c>
      <c r="K37" s="104" t="s">
        <v>42</v>
      </c>
      <c r="L37" s="105"/>
      <c r="M37" s="105">
        <f>ROUND(D37*H37,2)</f>
        <v>0</v>
      </c>
      <c r="N37" s="205"/>
      <c r="O37" s="105">
        <f t="shared" si="3"/>
        <v>0</v>
      </c>
      <c r="P37" s="245">
        <f>'Rider Rates'!$D$59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347</v>
      </c>
      <c r="B38" s="78"/>
      <c r="C38" s="78"/>
      <c r="D38" s="100">
        <f>IF($C$15&lt;0,0,$C$15)</f>
        <v>0</v>
      </c>
      <c r="E38" s="101" t="s">
        <v>41</v>
      </c>
      <c r="F38" s="102" t="s">
        <v>8</v>
      </c>
      <c r="G38" s="103"/>
      <c r="H38" s="103"/>
      <c r="I38" s="103">
        <f>'Rider Rates'!$B$70</f>
        <v>8.6240000000000004E-4</v>
      </c>
      <c r="J38" s="103">
        <f t="shared" ref="J38" si="4">SUM(G38:I38)</f>
        <v>8.6240000000000004E-4</v>
      </c>
      <c r="K38" s="104" t="s">
        <v>42</v>
      </c>
      <c r="L38" s="105"/>
      <c r="M38" s="105"/>
      <c r="N38" s="105">
        <f>ROUND($D$38*'Rider Rates'!$B$70,2)</f>
        <v>0</v>
      </c>
      <c r="O38" s="105">
        <f t="shared" ref="O38" si="5">SUM(L38:N38)</f>
        <v>0</v>
      </c>
      <c r="P38" s="245">
        <f>'Rider Rates'!$D$70</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95</v>
      </c>
      <c r="B39" s="78"/>
      <c r="C39" s="78"/>
      <c r="D39" s="100">
        <f>IF('Customer Info'!C35=TRUE,0,IF($C$15&lt;0,0,$C$15))</f>
        <v>0</v>
      </c>
      <c r="E39" s="101" t="s">
        <v>41</v>
      </c>
      <c r="F39" s="102" t="s">
        <v>8</v>
      </c>
      <c r="G39" s="103"/>
      <c r="H39" s="103"/>
      <c r="I39" s="103">
        <f>'Rider Rates'!$B$73+'Rider Rates'!$C$73</f>
        <v>0</v>
      </c>
      <c r="J39" s="103">
        <f t="shared" si="0"/>
        <v>0</v>
      </c>
      <c r="K39" s="104" t="s">
        <v>42</v>
      </c>
      <c r="L39" s="105"/>
      <c r="M39" s="105"/>
      <c r="N39" s="105">
        <f>ROUND($D$39*'Rider Rates'!$B$73,2)+ROUND($D$39*'Rider Rates'!$C$73,2)</f>
        <v>0</v>
      </c>
      <c r="O39" s="105">
        <f t="shared" si="2"/>
        <v>0</v>
      </c>
      <c r="P39" s="245">
        <f>'Rider Rates'!$D$73</f>
        <v>44531</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80</v>
      </c>
      <c r="B40" s="78"/>
      <c r="C40" s="78"/>
      <c r="D40" s="195">
        <f>$N$21</f>
        <v>10</v>
      </c>
      <c r="E40" s="101" t="s">
        <v>121</v>
      </c>
      <c r="F40" s="102" t="s">
        <v>8</v>
      </c>
      <c r="G40" s="111"/>
      <c r="H40" s="112"/>
      <c r="I40" s="120">
        <f>'Rider Rates'!$B$89</f>
        <v>2.9347000000000002E-2</v>
      </c>
      <c r="J40" s="120">
        <f t="shared" si="0"/>
        <v>2.9347000000000002E-2</v>
      </c>
      <c r="K40" s="104"/>
      <c r="L40" s="105"/>
      <c r="M40" s="105"/>
      <c r="N40" s="105">
        <f>ROUND(D40*I40,2)</f>
        <v>0.28999999999999998</v>
      </c>
      <c r="O40" s="105">
        <f t="shared" si="2"/>
        <v>0.28999999999999998</v>
      </c>
      <c r="P40" s="245">
        <f>'Rider Rates'!$D$89</f>
        <v>45383</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121</v>
      </c>
      <c r="F41" s="102" t="s">
        <v>8</v>
      </c>
      <c r="G41" s="114"/>
      <c r="H41" s="115"/>
      <c r="I41" s="120">
        <f>'Rider Rates'!$B$91</f>
        <v>6.6985699999999995E-2</v>
      </c>
      <c r="J41" s="120">
        <f t="shared" si="0"/>
        <v>6.6985699999999995E-2</v>
      </c>
      <c r="K41" s="104"/>
      <c r="L41" s="105"/>
      <c r="M41" s="105"/>
      <c r="N41" s="105">
        <f>ROUND(D41*I41,2)</f>
        <v>0.67</v>
      </c>
      <c r="O41" s="105">
        <f t="shared" si="2"/>
        <v>0.67</v>
      </c>
      <c r="P41" s="245">
        <f>'Rider Rates'!$D$91</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214</v>
      </c>
      <c r="B42" s="78"/>
      <c r="C42" s="78"/>
      <c r="D42" s="195"/>
      <c r="E42" s="113" t="s">
        <v>114</v>
      </c>
      <c r="F42" s="106"/>
      <c r="G42" s="114"/>
      <c r="H42" s="115"/>
      <c r="I42" s="196">
        <f>'Rider Rates'!$B$94</f>
        <v>1.42</v>
      </c>
      <c r="J42" s="196">
        <f t="shared" si="0"/>
        <v>1.42</v>
      </c>
      <c r="K42" s="104"/>
      <c r="L42" s="105"/>
      <c r="M42" s="105"/>
      <c r="N42" s="105">
        <f>I42</f>
        <v>1.42</v>
      </c>
      <c r="O42" s="105">
        <f t="shared" si="2"/>
        <v>1.42</v>
      </c>
      <c r="P42" s="245">
        <f>'Rider Rates'!$D$94</f>
        <v>45442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247</v>
      </c>
      <c r="B43" s="78"/>
      <c r="C43" s="78"/>
      <c r="D43" s="100">
        <f>IF($C$15&lt;0,0,$C$15)</f>
        <v>0</v>
      </c>
      <c r="E43" s="101" t="s">
        <v>41</v>
      </c>
      <c r="F43" s="102" t="s">
        <v>8</v>
      </c>
      <c r="G43" s="103"/>
      <c r="H43" s="103"/>
      <c r="I43" s="103"/>
      <c r="J43" s="103">
        <f>'Rider Rates'!$B$98</f>
        <v>0</v>
      </c>
      <c r="K43" s="104" t="s">
        <v>42</v>
      </c>
      <c r="L43" s="105"/>
      <c r="M43" s="105"/>
      <c r="N43" s="105"/>
      <c r="O43" s="105">
        <f>ROUND($D43*('Rider Rates'!B$98),2)</f>
        <v>0</v>
      </c>
      <c r="P43" s="245">
        <f>'Rider Rates'!$D$98</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121</v>
      </c>
      <c r="F44" s="102" t="s">
        <v>8</v>
      </c>
      <c r="G44" s="114"/>
      <c r="H44" s="115"/>
      <c r="I44" s="120">
        <f>'Rider Rates'!$B$109</f>
        <v>0.211176</v>
      </c>
      <c r="J44" s="120">
        <f t="shared" si="0"/>
        <v>0.211176</v>
      </c>
      <c r="K44" s="104"/>
      <c r="L44" s="105"/>
      <c r="M44" s="105"/>
      <c r="N44" s="105">
        <f>ROUND(D44*I44,2)</f>
        <v>2.11</v>
      </c>
      <c r="O44" s="105">
        <f t="shared" si="2"/>
        <v>2.11</v>
      </c>
      <c r="P44" s="245">
        <f>'Rider Rates'!$D$109</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114</v>
      </c>
      <c r="F45" s="106"/>
      <c r="G45" s="114"/>
      <c r="H45" s="115"/>
      <c r="I45" s="196">
        <f>'Rider Rates'!$B$112</f>
        <v>0</v>
      </c>
      <c r="J45" s="196">
        <f t="shared" si="0"/>
        <v>0</v>
      </c>
      <c r="K45" s="104"/>
      <c r="L45" s="105"/>
      <c r="M45" s="105"/>
      <c r="N45" s="105">
        <f>I45</f>
        <v>0</v>
      </c>
      <c r="O45" s="105">
        <f t="shared" si="2"/>
        <v>0</v>
      </c>
      <c r="P45" s="245">
        <f>'Rider Rates'!$D$112</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225</v>
      </c>
      <c r="B46" s="78"/>
      <c r="C46" s="78"/>
      <c r="D46" s="195"/>
      <c r="E46" s="113" t="s">
        <v>114</v>
      </c>
      <c r="F46" s="106"/>
      <c r="G46" s="114"/>
      <c r="H46" s="115"/>
      <c r="I46" s="258">
        <f>'Rider Rates'!B125</f>
        <v>1.26</v>
      </c>
      <c r="J46" s="196">
        <f t="shared" si="0"/>
        <v>1.26</v>
      </c>
      <c r="K46" s="104"/>
      <c r="L46" s="105"/>
      <c r="M46" s="105"/>
      <c r="N46" s="260">
        <f>I46</f>
        <v>1.26</v>
      </c>
      <c r="O46" s="105">
        <f t="shared" si="2"/>
        <v>1.26</v>
      </c>
      <c r="P46" s="245">
        <f>'Rider Rates'!D125</f>
        <v>45226</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Info'!$B$22+'Customer Info'!$B$23</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2"/>
        <v>0</v>
      </c>
      <c r="P47" s="245">
        <f>'Rider Rates'!$D$116</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216</v>
      </c>
      <c r="B48" s="78"/>
      <c r="C48" s="78"/>
      <c r="D48" s="100">
        <f>IF($C$15&lt;1,0,$C$15)</f>
        <v>0</v>
      </c>
      <c r="E48" s="101" t="s">
        <v>41</v>
      </c>
      <c r="F48" s="249" t="s">
        <v>8</v>
      </c>
      <c r="G48" s="165"/>
      <c r="H48" s="165"/>
      <c r="I48" s="251">
        <f>'Rider Rates'!B121</f>
        <v>-2.3000000000000001E-4</v>
      </c>
      <c r="J48" s="251">
        <f>SUM(G48:I48)</f>
        <v>-2.3000000000000001E-4</v>
      </c>
      <c r="K48" s="104" t="s">
        <v>42</v>
      </c>
      <c r="L48" s="105"/>
      <c r="M48" s="105"/>
      <c r="N48" s="105">
        <f>D48*J48</f>
        <v>0</v>
      </c>
      <c r="O48" s="105">
        <f>SUM(L48:N48)</f>
        <v>0</v>
      </c>
      <c r="P48" s="245">
        <f>'Rider Rates'!D121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238</v>
      </c>
      <c r="B49" s="78"/>
      <c r="C49" s="78"/>
      <c r="D49" s="100"/>
      <c r="E49" s="101" t="s">
        <v>114</v>
      </c>
      <c r="F49" s="102" t="s">
        <v>8</v>
      </c>
      <c r="G49" s="263"/>
      <c r="H49" s="263"/>
      <c r="I49" s="263">
        <f>'Rider Rates'!$B$129</f>
        <v>0.1</v>
      </c>
      <c r="J49" s="263">
        <f>SUM(G49:I49)</f>
        <v>0.1</v>
      </c>
      <c r="K49" s="104"/>
      <c r="L49" s="209"/>
      <c r="M49" s="209"/>
      <c r="N49" s="209">
        <f>J49</f>
        <v>0.1</v>
      </c>
      <c r="O49" s="209">
        <f>SUM(L49:N49)</f>
        <v>0.1</v>
      </c>
      <c r="P49" s="264">
        <f>'Rider Rates'!$E$129</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250</v>
      </c>
      <c r="B50" s="78"/>
      <c r="C50" s="78"/>
      <c r="D50" s="100">
        <f>C15</f>
        <v>0</v>
      </c>
      <c r="E50" s="101" t="s">
        <v>41</v>
      </c>
      <c r="F50" s="249" t="s">
        <v>8</v>
      </c>
      <c r="G50" s="103"/>
      <c r="H50" s="103"/>
      <c r="I50" s="103">
        <f>'Rider Rates'!$B$134</f>
        <v>0</v>
      </c>
      <c r="J50" s="237">
        <f>SUM(G50:I50)</f>
        <v>0</v>
      </c>
      <c r="K50" s="104" t="s">
        <v>42</v>
      </c>
      <c r="L50" s="105"/>
      <c r="M50" s="105"/>
      <c r="N50" s="105">
        <f>D50*J50</f>
        <v>0</v>
      </c>
      <c r="O50" s="105">
        <f>SUM(L50:N50)</f>
        <v>0</v>
      </c>
      <c r="P50" s="245">
        <f>'Rider Rates'!D134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249</v>
      </c>
      <c r="B51" s="78"/>
      <c r="C51" s="78"/>
      <c r="D51" s="100"/>
      <c r="E51" s="101" t="s">
        <v>114</v>
      </c>
      <c r="F51" s="102" t="s">
        <v>8</v>
      </c>
      <c r="G51" s="263"/>
      <c r="H51" s="263"/>
      <c r="I51" s="263">
        <f>'Rider Rates'!$B$141</f>
        <v>0</v>
      </c>
      <c r="J51" s="263">
        <f>SUM(G51:I51)</f>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251</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70</v>
      </c>
      <c r="B53" s="148"/>
      <c r="C53" s="148"/>
      <c r="D53" s="180"/>
      <c r="E53" s="181"/>
      <c r="F53" s="182"/>
      <c r="G53" s="182"/>
      <c r="H53" s="182"/>
      <c r="I53" s="182"/>
      <c r="J53" s="182"/>
      <c r="K53" s="183"/>
      <c r="L53" s="169">
        <f>SUM(L25:L52)</f>
        <v>0</v>
      </c>
      <c r="M53" s="169">
        <f>SUM(M25:M52)</f>
        <v>0</v>
      </c>
      <c r="N53" s="169">
        <f>SUM(N25:N52)</f>
        <v>7.2399999999999993</v>
      </c>
      <c r="O53" s="169">
        <f>SUM(O25:O52)</f>
        <v>7.2399999999999993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17.239999999999998</v>
      </c>
      <c r="O55" s="187">
        <f>O21+O53</f>
        <v>17.239999999999998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92</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116</v>
      </c>
      <c r="B60" s="151"/>
      <c r="C60" s="151"/>
      <c r="D60" s="151"/>
      <c r="E60" s="151"/>
      <c r="F60" s="151"/>
      <c r="G60" s="151"/>
      <c r="H60" s="151"/>
      <c r="I60" s="151"/>
      <c r="J60" s="151"/>
      <c r="K60" s="151"/>
      <c r="L60" s="151"/>
      <c r="M60" s="151"/>
      <c r="N60" s="151"/>
      <c r="O60" s="190">
        <f>IF($C$15&lt;0,O55,IF(O55&gt;O58,O55,O58))</f>
        <v>17.239999999999998</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120</v>
      </c>
      <c r="J62" s="166"/>
      <c r="K62" s="166"/>
      <c r="L62" s="191"/>
      <c r="M62" s="191"/>
      <c r="N62" s="191"/>
      <c r="O62" s="191">
        <f>ROUND(IF($C$15&lt;1,0,O55/($C$15*100)*10000),2)</f>
        <v>0</v>
      </c>
      <c r="P62" s="37" t="s">
        <v>86</v>
      </c>
    </row>
    <row r="63" spans="1:221" x14ac:dyDescent="0.2">
      <c r="A63" s="147"/>
      <c r="I63" s="242" t="s">
        <v>198</v>
      </c>
      <c r="J63" s="78"/>
      <c r="K63" s="78"/>
      <c r="L63" s="78"/>
      <c r="M63" s="78"/>
      <c r="N63" s="78"/>
      <c r="O63" s="243">
        <f>ROUND(IF($C$15&lt;1,0,(L55)/($C$15*100)*10000),2)</f>
        <v>0</v>
      </c>
      <c r="P63" s="25" t="s">
        <v>86</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2LwarWAfmV9IG+dz+UrjcEbf7+UeiYhWGjNEb8itJzW77ytBH32yG7L+WzedPePvVMyOQDyntT0fftbOPgvn7A==" saltValue="ySzTwa0n3T7Er8hz4YtqP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409575</xdr:colOff>
                    <xdr:row>78</xdr:row>
                    <xdr:rowOff>28575</xdr:rowOff>
                  </from>
                  <to>
                    <xdr:col>14</xdr:col>
                    <xdr:colOff>752475</xdr:colOff>
                    <xdr:row>79</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B94"/>
  <sheetViews>
    <sheetView showGridLines="0" topLeftCell="A19" zoomScale="80" zoomScaleNormal="80" workbookViewId="0">
      <selection activeCell="I44" sqref="I44"/>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549" t="s">
        <v>119</v>
      </c>
      <c r="B1" s="549"/>
      <c r="C1" s="549"/>
      <c r="D1" s="549"/>
      <c r="E1" s="549"/>
      <c r="F1" s="549"/>
      <c r="G1" s="549"/>
      <c r="H1" s="549"/>
      <c r="I1" s="549"/>
      <c r="J1" s="549"/>
      <c r="K1" s="549"/>
      <c r="L1" s="549"/>
      <c r="M1" s="549"/>
      <c r="N1" s="549"/>
      <c r="O1" s="549"/>
      <c r="P1" s="549"/>
      <c r="Q1" s="197"/>
    </row>
    <row r="2" spans="1:59" ht="18" customHeight="1" x14ac:dyDescent="0.2">
      <c r="A2" s="558" t="s">
        <v>290</v>
      </c>
      <c r="B2" s="558"/>
      <c r="C2" s="558"/>
      <c r="D2" s="558"/>
      <c r="E2" s="558"/>
      <c r="F2" s="558"/>
      <c r="G2" s="558"/>
      <c r="H2" s="558"/>
      <c r="I2" s="558"/>
      <c r="J2" s="558"/>
      <c r="K2" s="558"/>
      <c r="L2" s="558"/>
      <c r="M2" s="558"/>
      <c r="N2" s="558"/>
      <c r="O2" s="558"/>
      <c r="P2" s="558"/>
    </row>
    <row r="3" spans="1:59" ht="18" x14ac:dyDescent="0.25">
      <c r="A3" s="558"/>
      <c r="B3" s="558"/>
      <c r="C3" s="558"/>
      <c r="D3" s="558"/>
      <c r="E3" s="558"/>
      <c r="F3" s="558"/>
      <c r="G3" s="558"/>
      <c r="H3" s="558"/>
      <c r="I3" s="558"/>
      <c r="J3" s="558"/>
      <c r="K3" s="558"/>
      <c r="L3" s="558"/>
      <c r="M3" s="558"/>
      <c r="N3" s="558"/>
      <c r="O3" s="558"/>
      <c r="P3" s="558"/>
      <c r="Q3" s="198"/>
    </row>
    <row r="4" spans="1:59" ht="15.75" x14ac:dyDescent="0.25">
      <c r="A4" s="550" t="str">
        <f>'Customer Info'!$B$12</f>
        <v>Breakdown of Charges Based on Entered Information</v>
      </c>
      <c r="B4" s="550"/>
      <c r="C4" s="550"/>
      <c r="D4" s="550"/>
      <c r="E4" s="550"/>
      <c r="F4" s="550"/>
      <c r="G4" s="550"/>
      <c r="H4" s="550"/>
      <c r="I4" s="550"/>
      <c r="J4" s="550"/>
      <c r="K4" s="550"/>
      <c r="L4" s="550"/>
      <c r="M4" s="550"/>
      <c r="N4" s="550"/>
      <c r="O4" s="550"/>
      <c r="P4" s="550"/>
      <c r="Q4" s="199"/>
    </row>
    <row r="5" spans="1:59" ht="15" x14ac:dyDescent="0.2">
      <c r="A5" s="75"/>
      <c r="B5" s="75"/>
      <c r="C5" s="75"/>
      <c r="D5" s="75"/>
      <c r="E5" s="75"/>
      <c r="F5" s="75"/>
      <c r="G5" s="75"/>
      <c r="H5" s="75"/>
      <c r="I5" s="75"/>
      <c r="J5" s="75"/>
      <c r="K5" s="75"/>
      <c r="L5" s="75"/>
      <c r="M5" s="75"/>
      <c r="N5" s="75"/>
      <c r="O5" s="75"/>
      <c r="P5" s="75"/>
      <c r="Q5" s="75"/>
    </row>
    <row r="6" spans="1:59" x14ac:dyDescent="0.2">
      <c r="A6" s="279">
        <f ca="1">TODAY()</f>
        <v>45532</v>
      </c>
      <c r="B6" s="557" t="s">
        <v>340</v>
      </c>
      <c r="C6" s="557"/>
      <c r="D6" s="557"/>
      <c r="E6" s="557"/>
      <c r="F6" s="557"/>
      <c r="G6" s="557"/>
      <c r="H6" s="557"/>
      <c r="I6" s="557"/>
      <c r="J6" s="557"/>
      <c r="K6" s="557"/>
      <c r="L6" s="557"/>
      <c r="M6" s="557"/>
      <c r="N6" s="557"/>
      <c r="O6" s="557"/>
    </row>
    <row r="7" spans="1:59" x14ac:dyDescent="0.2">
      <c r="A7" s="548" t="s">
        <v>15</v>
      </c>
      <c r="B7" s="548"/>
      <c r="C7" s="548"/>
      <c r="D7" s="548"/>
      <c r="E7" s="548"/>
      <c r="F7" s="548"/>
      <c r="G7" s="548"/>
      <c r="H7" s="548"/>
      <c r="I7" s="548"/>
      <c r="J7" s="548"/>
      <c r="K7" s="548"/>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99</v>
      </c>
      <c r="B11" s="200">
        <f>'Customer Info'!B9</f>
        <v>9</v>
      </c>
      <c r="C11" s="194" t="str">
        <f>LOOKUP($B$11,$S$11:$AD$11,S12:AD12)</f>
        <v>September</v>
      </c>
      <c r="D11" s="133">
        <f>'Customer Info'!C9</f>
        <v>2024</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80" t="s">
        <v>15</v>
      </c>
      <c r="H14" s="280"/>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292</v>
      </c>
      <c r="B18" s="78"/>
      <c r="C18" s="154"/>
      <c r="D18" s="154">
        <f>'Customer Info'!$B$19</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554" t="s">
        <v>67</v>
      </c>
      <c r="H23" s="555"/>
      <c r="I23" s="555"/>
      <c r="J23" s="556"/>
      <c r="K23" s="159"/>
      <c r="L23" s="551" t="s">
        <v>68</v>
      </c>
      <c r="M23" s="552"/>
      <c r="N23" s="552"/>
      <c r="O23" s="553"/>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185</v>
      </c>
      <c r="B26" s="78"/>
      <c r="C26" s="78"/>
      <c r="D26" s="1">
        <f>MAX($D$17,0)</f>
        <v>0</v>
      </c>
      <c r="E26" s="101" t="s">
        <v>41</v>
      </c>
      <c r="F26" s="106" t="s">
        <v>8</v>
      </c>
      <c r="G26" s="247"/>
      <c r="H26" s="163"/>
      <c r="I26" s="165">
        <v>1.3156299999999999E-2</v>
      </c>
      <c r="J26" s="103">
        <f>SUM(G26:I26)</f>
        <v>1.3156299999999999E-2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291</v>
      </c>
      <c r="B27" s="78"/>
      <c r="C27" s="78"/>
      <c r="D27" s="1">
        <f>D18</f>
        <v>0</v>
      </c>
      <c r="E27" s="101" t="s">
        <v>45</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78</v>
      </c>
      <c r="B32" s="176"/>
      <c r="C32" s="176"/>
      <c r="D32" s="100">
        <f>IF($D$17&lt;0,0,IF($D$17&gt;833000,833000,$D$17))</f>
        <v>0</v>
      </c>
      <c r="E32" s="101" t="s">
        <v>41</v>
      </c>
      <c r="F32" s="102" t="s">
        <v>8</v>
      </c>
      <c r="G32" s="103"/>
      <c r="H32" s="103"/>
      <c r="I32" s="103">
        <f>'Rider Rates'!$B$4</f>
        <v>5.9216E-3</v>
      </c>
      <c r="J32" s="103">
        <f t="shared" ref="J32:J38" si="0">SUM(G32:I32)</f>
        <v>5.9216E-3</v>
      </c>
      <c r="K32" s="104" t="s">
        <v>42</v>
      </c>
      <c r="L32" s="105"/>
      <c r="M32" s="105"/>
      <c r="N32" s="105">
        <f t="shared" ref="N32:N37" si="1">ROUND(D32*I32,2)</f>
        <v>0</v>
      </c>
      <c r="O32" s="250">
        <f t="shared" ref="O32:O54" si="2">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79</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96</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97</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98</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245</v>
      </c>
      <c r="B38" s="78"/>
      <c r="C38" s="78"/>
      <c r="D38" s="195">
        <f>$N$28</f>
        <v>10</v>
      </c>
      <c r="E38" s="101" t="s">
        <v>121</v>
      </c>
      <c r="F38" s="102" t="s">
        <v>8</v>
      </c>
      <c r="G38" s="103"/>
      <c r="H38" s="103"/>
      <c r="I38" s="178">
        <f>'Rider Rates'!$B$18</f>
        <v>0</v>
      </c>
      <c r="J38" s="178">
        <f t="shared" si="0"/>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194</v>
      </c>
      <c r="B39" s="78"/>
      <c r="C39" s="78"/>
      <c r="D39" s="100">
        <f>'Customer Info'!$B$22+'Customer Info'!$B$23-'Customer Info'!$B$24</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Info'!$B$22+'Customer Info'!$B$23-'Customer Info'!$B$24</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201</v>
      </c>
      <c r="B41" s="78"/>
      <c r="C41" s="78"/>
      <c r="D41" s="100">
        <f>'Customer Info'!$B$22+'Customer Info'!$B$23-'Customer Info'!$B$24</f>
        <v>0</v>
      </c>
      <c r="E41" s="101" t="s">
        <v>41</v>
      </c>
      <c r="F41" s="102" t="s">
        <v>8</v>
      </c>
      <c r="G41" s="103">
        <f>'Rider Rates'!$B$49</f>
        <v>-3.1569999999999998E-4</v>
      </c>
      <c r="H41" s="103"/>
      <c r="I41" s="103"/>
      <c r="J41" s="237">
        <f>SUM(G41:H41)</f>
        <v>-3.1569999999999998E-4</v>
      </c>
      <c r="K41" s="104" t="s">
        <v>42</v>
      </c>
      <c r="L41" s="105">
        <f>ROUND(D41*G41,2)</f>
        <v>0</v>
      </c>
      <c r="M41" s="105"/>
      <c r="N41" s="105"/>
      <c r="O41" s="105">
        <f t="shared" si="3"/>
        <v>0</v>
      </c>
      <c r="P41" s="245">
        <f>'Rider Rates'!$D$49</f>
        <v>45471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197</v>
      </c>
      <c r="B43" s="78"/>
      <c r="C43" s="78"/>
      <c r="D43" s="100">
        <f>IF($D$17&lt;0,0,$D$17)</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347</v>
      </c>
      <c r="B44" s="78"/>
      <c r="C44" s="78"/>
      <c r="D44" s="100">
        <f>IF($D$17&lt;0,0,$D$17)</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95</v>
      </c>
      <c r="B45" s="78"/>
      <c r="C45" s="78"/>
      <c r="D45" s="100">
        <f>IF('Customer Info'!C35=TRUE,0,IF($D$17&lt;0,0,$D$17))</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2"/>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80</v>
      </c>
      <c r="B46" s="78"/>
      <c r="C46" s="78"/>
      <c r="D46" s="195">
        <f>$N$28</f>
        <v>10</v>
      </c>
      <c r="E46" s="101" t="s">
        <v>121</v>
      </c>
      <c r="F46" s="102" t="s">
        <v>8</v>
      </c>
      <c r="G46" s="111"/>
      <c r="H46" s="112"/>
      <c r="I46" s="120">
        <f>'Rider Rates'!$B$89</f>
        <v>2.9347000000000002E-2</v>
      </c>
      <c r="J46" s="120">
        <f t="shared" si="4"/>
        <v>2.9347000000000002E-2</v>
      </c>
      <c r="K46" s="104"/>
      <c r="L46" s="105"/>
      <c r="M46" s="105"/>
      <c r="N46" s="105">
        <f>ROUND(D46*I46,2)</f>
        <v>0.28999999999999998</v>
      </c>
      <c r="O46" s="105">
        <f t="shared" si="2"/>
        <v>0.28999999999999998</v>
      </c>
      <c r="P46" s="245">
        <f>'Rider Rates'!$D$89</f>
        <v>45383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2"/>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214</v>
      </c>
      <c r="B48" s="78"/>
      <c r="C48" s="78"/>
      <c r="D48" s="195"/>
      <c r="E48" s="113" t="s">
        <v>114</v>
      </c>
      <c r="F48" s="106"/>
      <c r="G48" s="114"/>
      <c r="H48" s="115"/>
      <c r="I48" s="196">
        <f>'Rider Rates'!$B$94</f>
        <v>1.42</v>
      </c>
      <c r="J48" s="196">
        <f t="shared" si="4"/>
        <v>1.42</v>
      </c>
      <c r="K48" s="104"/>
      <c r="L48" s="105"/>
      <c r="M48" s="105"/>
      <c r="N48" s="105">
        <f>I48</f>
        <v>1.42</v>
      </c>
      <c r="O48" s="250">
        <f>SUM(L48:N48)</f>
        <v>1.42</v>
      </c>
      <c r="P48" s="245">
        <f>'Rider Rates'!$D$94</f>
        <v>45442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247</v>
      </c>
      <c r="B49" s="78"/>
      <c r="C49" s="78"/>
      <c r="D49" s="100">
        <f>IF($D$17&lt;0,0,$D$17)</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$N$28</f>
        <v>10</v>
      </c>
      <c r="E50" s="101" t="s">
        <v>121</v>
      </c>
      <c r="F50" s="102" t="s">
        <v>8</v>
      </c>
      <c r="G50" s="114"/>
      <c r="H50" s="115"/>
      <c r="I50" s="120">
        <f>'Rider Rates'!$B$109</f>
        <v>0.211176</v>
      </c>
      <c r="J50" s="238">
        <f>SUM(G50:I50)</f>
        <v>0.211176</v>
      </c>
      <c r="K50" s="104"/>
      <c r="L50" s="105"/>
      <c r="M50" s="105"/>
      <c r="N50" s="105">
        <f>ROUND(D50*I50,2)</f>
        <v>2.11</v>
      </c>
      <c r="O50" s="105">
        <f t="shared" si="2"/>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225</v>
      </c>
      <c r="B52" s="78"/>
      <c r="C52" s="78"/>
      <c r="D52" s="195"/>
      <c r="E52" s="113" t="s">
        <v>114</v>
      </c>
      <c r="F52" s="106"/>
      <c r="G52" s="114"/>
      <c r="H52" s="115"/>
      <c r="I52" s="258">
        <f>'Rider Rates'!B125</f>
        <v>1.26</v>
      </c>
      <c r="J52" s="259">
        <f>SUM(G52:I52)</f>
        <v>1.26</v>
      </c>
      <c r="K52" s="104"/>
      <c r="L52" s="105"/>
      <c r="M52" s="105"/>
      <c r="N52" s="260">
        <f>I52</f>
        <v>1.26</v>
      </c>
      <c r="O52" s="105">
        <f>SUM(L52:N52)</f>
        <v>1.26</v>
      </c>
      <c r="P52" s="245">
        <f>'Rider Rates'!D125</f>
        <v>45226</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Info'!$B$22+'Customer Info'!$B$23-'Customer Info'!$B$24</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2"/>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216</v>
      </c>
      <c r="B54" s="78"/>
      <c r="C54" s="78"/>
      <c r="D54" s="100">
        <f>IF($D$17&lt;1,0,$D$17)</f>
        <v>0</v>
      </c>
      <c r="E54" s="101" t="s">
        <v>41</v>
      </c>
      <c r="F54" s="249" t="s">
        <v>8</v>
      </c>
      <c r="G54" s="103"/>
      <c r="H54" s="103"/>
      <c r="I54" s="103">
        <f>'Rider Rates'!$B$121</f>
        <v>-2.3000000000000001E-4</v>
      </c>
      <c r="J54" s="237">
        <f>SUM(G54:I54)</f>
        <v>-2.3000000000000001E-4</v>
      </c>
      <c r="K54" s="104" t="s">
        <v>42</v>
      </c>
      <c r="L54" s="105"/>
      <c r="M54" s="105"/>
      <c r="N54" s="105">
        <f>D54*J54</f>
        <v>0</v>
      </c>
      <c r="O54" s="105">
        <f t="shared" si="2"/>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250</v>
      </c>
      <c r="B56" s="78"/>
      <c r="C56" s="78"/>
      <c r="D56" s="100">
        <f>D17</f>
        <v>0</v>
      </c>
      <c r="E56" s="101" t="s">
        <v>41</v>
      </c>
      <c r="F56" s="249" t="s">
        <v>8</v>
      </c>
      <c r="G56" s="103"/>
      <c r="H56" s="103"/>
      <c r="I56" s="103">
        <f>'Rider Rates'!B134</f>
        <v>0</v>
      </c>
      <c r="J56" s="237">
        <f>SUM(G56:I56)</f>
        <v>0</v>
      </c>
      <c r="K56" s="104" t="s">
        <v>42</v>
      </c>
      <c r="L56" s="105"/>
      <c r="M56" s="105"/>
      <c r="N56" s="105">
        <f>D56*J56</f>
        <v>0</v>
      </c>
      <c r="O56" s="105">
        <f>SUM(L56:N56)</f>
        <v>0</v>
      </c>
      <c r="P56" s="245">
        <f>'Rider Rates'!D134</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Rates'!D141</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70</v>
      </c>
      <c r="B59" s="148"/>
      <c r="C59" s="148"/>
      <c r="D59" s="180"/>
      <c r="E59" s="181"/>
      <c r="F59" s="182"/>
      <c r="G59" s="182"/>
      <c r="H59" s="182"/>
      <c r="I59" s="182"/>
      <c r="J59" s="182"/>
      <c r="K59" s="183"/>
      <c r="L59" s="169">
        <f>SUM(L32:L58)</f>
        <v>0</v>
      </c>
      <c r="M59" s="169">
        <f>SUM(M32:M58)</f>
        <v>0</v>
      </c>
      <c r="N59" s="169">
        <f>SUM(N32:N58)</f>
        <v>7.2399999999999993</v>
      </c>
      <c r="O59" s="169">
        <f>SUM(O32:O58)</f>
        <v>7.2399999999999993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93</v>
      </c>
      <c r="B61" s="170"/>
      <c r="C61" s="170"/>
      <c r="D61" s="170"/>
      <c r="E61" s="170"/>
      <c r="F61" s="170"/>
      <c r="G61" s="170"/>
      <c r="H61" s="170"/>
      <c r="I61" s="170"/>
      <c r="J61" s="170"/>
      <c r="K61" s="170"/>
      <c r="L61" s="186">
        <f>L28+L59</f>
        <v>0</v>
      </c>
      <c r="M61" s="186">
        <f>M28+M59</f>
        <v>0</v>
      </c>
      <c r="N61" s="186">
        <f>N28+N59</f>
        <v>17.239999999999998</v>
      </c>
      <c r="O61" s="187">
        <f>O28+O59</f>
        <v>17.239999999999998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116</v>
      </c>
      <c r="B66" s="151"/>
      <c r="C66" s="151"/>
      <c r="D66" s="151"/>
      <c r="E66" s="151"/>
      <c r="F66" s="151"/>
      <c r="G66" s="151"/>
      <c r="H66" s="151"/>
      <c r="I66" s="151"/>
      <c r="J66" s="151"/>
      <c r="K66" s="151"/>
      <c r="L66" s="151"/>
      <c r="M66" s="151"/>
      <c r="N66" s="151"/>
      <c r="O66" s="190">
        <f>IF($D$17&lt;0,O61,IF(O61&gt;O64,O61,O64))</f>
        <v>17.239999999999998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198</v>
      </c>
      <c r="J69" s="78"/>
      <c r="K69" s="78"/>
      <c r="L69" s="78"/>
      <c r="M69" s="78"/>
      <c r="N69" s="78"/>
      <c r="O69" s="243">
        <f>ROUND(IF($D$17&lt;1,0,(L61)/($D$17*100)*10000),2)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547"/>
    </row>
    <row r="81" spans="1:1" x14ac:dyDescent="0.2">
      <c r="A81" s="547"/>
    </row>
    <row r="82" spans="1:1" x14ac:dyDescent="0.2">
      <c r="A82" s="547"/>
    </row>
    <row r="83" spans="1:1" x14ac:dyDescent="0.2">
      <c r="A83" s="547"/>
    </row>
    <row r="84" spans="1:1" x14ac:dyDescent="0.2">
      <c r="A84" s="547"/>
    </row>
    <row r="85" spans="1:1" x14ac:dyDescent="0.2">
      <c r="A85" s="547"/>
    </row>
    <row r="86" spans="1:1" x14ac:dyDescent="0.2">
      <c r="A86" s="547"/>
    </row>
    <row r="87" spans="1:1" x14ac:dyDescent="0.2">
      <c r="A87" s="547"/>
    </row>
    <row r="88" spans="1:1" x14ac:dyDescent="0.2">
      <c r="A88" s="547"/>
    </row>
    <row r="89" spans="1:1" x14ac:dyDescent="0.2">
      <c r="A89" s="547"/>
    </row>
    <row r="90" spans="1:1" x14ac:dyDescent="0.2">
      <c r="A90" s="547"/>
    </row>
    <row r="91" spans="1:1" x14ac:dyDescent="0.2">
      <c r="A91" s="547"/>
    </row>
    <row r="92" spans="1:1" x14ac:dyDescent="0.2">
      <c r="A92" s="547"/>
    </row>
    <row r="93" spans="1:1" x14ac:dyDescent="0.2">
      <c r="A93" s="547"/>
    </row>
    <row r="94" spans="1:1" x14ac:dyDescent="0.2">
      <c r="A94" s="547"/>
    </row>
  </sheetData>
  <sheetProtection algorithmName="SHA-512" hashValue="JEji5ZzcoTDSSUt3KNEfIJGYbtVRaQSfMT3ewGld+LFVtoAmZDD/qcuZhqgrK+U1URwquBxcu+3rOrAeClR/eg==" saltValue="IBW2PtcCIL2zpD5wcraiNQ=="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390525</xdr:colOff>
                    <xdr:row>87</xdr:row>
                    <xdr:rowOff>38100</xdr:rowOff>
                  </from>
                  <to>
                    <xdr:col>30</xdr:col>
                    <xdr:colOff>161925</xdr:colOff>
                    <xdr:row>88</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3.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02068F9C-4103-46F6-85A7-D753193D488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28</vt:i4>
      </vt:variant>
    </vt:vector>
  </HeadingPairs>
  <TitlesOfParts>
    <vt:vector size="62"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Kimete Seferi</cp:lastModifiedBy>
  <cp:lastPrinted>2023-06-07T15:43:40Z</cp:lastPrinted>
  <dcterms:created xsi:type="dcterms:W3CDTF">2000-11-03T19:24:31Z</dcterms:created>
  <dcterms:modified xsi:type="dcterms:W3CDTF">2024-08-28T15:42:13Z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8c3e659f-6535-4092-8ac9-730d717eb7e6</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